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never" codeName="ThisWorkbook" defaultThemeVersion="124226"/>
  <mc:AlternateContent xmlns:mc="http://schemas.openxmlformats.org/markup-compatibility/2006">
    <mc:Choice Requires="x15">
      <x15ac:absPath xmlns:x15ac="http://schemas.microsoft.com/office/spreadsheetml/2010/11/ac" url="C:\Users\Catherine\Downloads\"/>
    </mc:Choice>
  </mc:AlternateContent>
  <xr:revisionPtr revIDLastSave="0" documentId="13_ncr:1_{D8638482-D8C0-4656-9907-D0B0D7A3D456}" xr6:coauthVersionLast="45" xr6:coauthVersionMax="45" xr10:uidLastSave="{00000000-0000-0000-0000-000000000000}"/>
  <workbookProtection workbookAlgorithmName="SHA-512" workbookHashValue="Q/lq2FVendBXrs6sEyP886OAwrqrDRJ6L4WmZdbS9mcltk/+3QB23nOTEhOU7TcOFGxM84dnEjVhltL2T+2pEg==" workbookSaltValue="rLIv/6X4PlHWdIn5xqOMxg==" workbookSpinCount="100000" lockStructure="1"/>
  <bookViews>
    <workbookView xWindow="-120" yWindow="-120" windowWidth="20730" windowHeight="11160" tabRatio="929" xr2:uid="{0A95109F-5236-4E94-AE70-1939BFDBC736}"/>
  </bookViews>
  <sheets>
    <sheet name="Instructions" sheetId="39" r:id="rId1"/>
    <sheet name="Summary" sheetId="40" r:id="rId2"/>
    <sheet name=" Project Debt &amp; NOI" sheetId="45" r:id="rId3"/>
    <sheet name="Sources and Uses" sheetId="2" r:id="rId4"/>
    <sheet name="SD_Dropdowns" sheetId="38" state="veryHidden" r:id="rId5"/>
    <sheet name="WIP_Scenario Output 1" sheetId="42" state="hidden" r:id="rId6"/>
    <sheet name="Units &amp; Income" sheetId="1" r:id="rId7"/>
    <sheet name="Operating Expenses " sheetId="21" r:id="rId8"/>
    <sheet name="Cash Flow Proforma" sheetId="22" r:id="rId9"/>
    <sheet name="Development Budget" sheetId="5" r:id="rId10"/>
    <sheet name="Tax Credit Worksheet" sheetId="53" r:id="rId11"/>
    <sheet name="2020 AMI" sheetId="41" r:id="rId12"/>
  </sheets>
  <externalReferences>
    <externalReference r:id="rId13"/>
  </externalReferences>
  <definedNames>
    <definedName name="_Fill" localSheetId="1" hidden="1">#REF!</definedName>
    <definedName name="_Fill" hidden="1">#REF!</definedName>
    <definedName name="_Order1" hidden="1">0</definedName>
    <definedName name="_Order2" hidden="1">0</definedName>
    <definedName name="AMI_Area_Name">'2020 AMI'!$B$57</definedName>
    <definedName name="GURAL" localSheetId="0" hidden="1">{#N/A,#N/A,TRUE,"Summary I";#N/A,#N/A,TRUE,"Summary II";#N/A,#N/A,TRUE,"Summary III";#N/A,#N/A,TRUE,"Sources &amp; Uses";#N/A,#N/A,TRUE,"Income";#N/A,#N/A,TRUE,"Expenses";#N/A,#N/A,TRUE,"Spreadsheet";#N/A,#N/A,TRUE,"CashColl";#N/A,#N/A,TRUE,"Reserves";#N/A,#N/A,TRUE,"Immediate Repairs";#N/A,#N/A,TRUE,"Loan Options ";#N/A,#N/A,TRUE,"Exit Strategy";#N/A,#N/A,TRUE,"Waivers &amp; Conditions";#N/A,#N/A,TRUE,"Signature Page"}</definedName>
    <definedName name="GURAL" hidden="1">{#N/A,#N/A,TRUE,"Summary I";#N/A,#N/A,TRUE,"Summary II";#N/A,#N/A,TRUE,"Summary III";#N/A,#N/A,TRUE,"Sources &amp; Uses";#N/A,#N/A,TRUE,"Income";#N/A,#N/A,TRUE,"Expenses";#N/A,#N/A,TRUE,"Spreadsheet";#N/A,#N/A,TRUE,"CashColl";#N/A,#N/A,TRUE,"Reserves";#N/A,#N/A,TRUE,"Immediate Repairs";#N/A,#N/A,TRUE,"Loan Options ";#N/A,#N/A,TRUE,"Exit Strategy";#N/A,#N/A,TRUE,"Waivers &amp; Conditions";#N/A,#N/A,TRUE,"Signature Page"}</definedName>
    <definedName name="Overview" localSheetId="0" hidden="1">{#N/A,#N/A,TRUE,"Summary I";#N/A,#N/A,TRUE,"Summary II";#N/A,#N/A,TRUE,"Summary III";#N/A,#N/A,TRUE,"Sources &amp; Uses";#N/A,#N/A,TRUE,"Income";#N/A,#N/A,TRUE,"Expenses";#N/A,#N/A,TRUE,"Spreadsheet";#N/A,#N/A,TRUE,"CashColl";#N/A,#N/A,TRUE,"Reserves";#N/A,#N/A,TRUE,"Immediate Repairs";#N/A,#N/A,TRUE,"Loan Options ";#N/A,#N/A,TRUE,"Exit Strategy";#N/A,#N/A,TRUE,"Waivers &amp; Conditions";#N/A,#N/A,TRUE,"Signature Page"}</definedName>
    <definedName name="Overview" hidden="1">{#N/A,#N/A,TRUE,"Summary I";#N/A,#N/A,TRUE,"Summary II";#N/A,#N/A,TRUE,"Summary III";#N/A,#N/A,TRUE,"Sources &amp; Uses";#N/A,#N/A,TRUE,"Income";#N/A,#N/A,TRUE,"Expenses";#N/A,#N/A,TRUE,"Spreadsheet";#N/A,#N/A,TRUE,"CashColl";#N/A,#N/A,TRUE,"Reserves";#N/A,#N/A,TRUE,"Immediate Repairs";#N/A,#N/A,TRUE,"Loan Options ";#N/A,#N/A,TRUE,"Exit Strategy";#N/A,#N/A,TRUE,"Waivers &amp; Conditions";#N/A,#N/A,TRUE,"Signature Page"}</definedName>
    <definedName name="_xlnm.Print_Area" localSheetId="2">' Project Debt &amp; NOI'!$A$1:$F$96</definedName>
    <definedName name="_xlnm.Print_Area" localSheetId="11">'2020 AMI'!$B$1:$H$86</definedName>
    <definedName name="_xlnm.Print_Area" localSheetId="8">'Cash Flow Proforma'!$A$1:$S$53</definedName>
    <definedName name="_xlnm.Print_Area" localSheetId="9">'Development Budget'!$A$1:$L$90</definedName>
    <definedName name="_xlnm.Print_Area" localSheetId="0">Instructions!$A:$K</definedName>
    <definedName name="_xlnm.Print_Area" localSheetId="7">'Operating Expenses '!$A$1:$G$58</definedName>
    <definedName name="_xlnm.Print_Area" localSheetId="3">'Sources and Uses'!$A$1:$J$44</definedName>
    <definedName name="_xlnm.Print_Area" localSheetId="1">Summary!$A$1:$F$57</definedName>
    <definedName name="_xlnm.Print_Area" localSheetId="10">'Tax Credit Worksheet'!$A$1:$I$295</definedName>
    <definedName name="_xlnm.Print_Area" localSheetId="6">'Units &amp; Income'!$A$2:$N$96</definedName>
    <definedName name="REO" localSheetId="0" hidden="1">{#N/A,#N/A,TRUE,"Summary I";#N/A,#N/A,TRUE,"Summary II";#N/A,#N/A,TRUE,"Summary III";#N/A,#N/A,TRUE,"Sources &amp; Uses";#N/A,#N/A,TRUE,"Income";#N/A,#N/A,TRUE,"Pricing";#N/A,#N/A,TRUE,"Spreadsheet";#N/A,#N/A,TRUE,"Expenses";#N/A,#N/A,TRUE,"CashColl";#N/A,#N/A,TRUE,"Reserves";#N/A,#N/A,TRUE,"Immediate Repairs";#N/A,#N/A,TRUE,"Loan Options ";#N/A,#N/A,TRUE,"Exit Strategy";#N/A,#N/A,TRUE,"Waivers &amp; Conditions";#N/A,#N/A,TRUE,"Borr";#N/A,#N/A,TRUE,"KeyI";#N/A,#N/A,TRUE,"REOI";#N/A,#N/A,TRUE,"KeyII";#N/A,#N/A,TRUE,"REOII";#N/A,#N/A,TRUE,"Notes";#N/A,#N/A,TRUE,"Data";#N/A,#N/A,TRUE,"Signature Page"}</definedName>
    <definedName name="REO" hidden="1">{#N/A,#N/A,TRUE,"Summary I";#N/A,#N/A,TRUE,"Summary II";#N/A,#N/A,TRUE,"Summary III";#N/A,#N/A,TRUE,"Sources &amp; Uses";#N/A,#N/A,TRUE,"Income";#N/A,#N/A,TRUE,"Pricing";#N/A,#N/A,TRUE,"Spreadsheet";#N/A,#N/A,TRUE,"Expenses";#N/A,#N/A,TRUE,"CashColl";#N/A,#N/A,TRUE,"Reserves";#N/A,#N/A,TRUE,"Immediate Repairs";#N/A,#N/A,TRUE,"Loan Options ";#N/A,#N/A,TRUE,"Exit Strategy";#N/A,#N/A,TRUE,"Waivers &amp; Conditions";#N/A,#N/A,TRUE,"Borr";#N/A,#N/A,TRUE,"KeyI";#N/A,#N/A,TRUE,"REOI";#N/A,#N/A,TRUE,"KeyII";#N/A,#N/A,TRUE,"REOII";#N/A,#N/A,TRUE,"Notes";#N/A,#N/A,TRUE,"Data";#N/A,#N/A,TRUE,"Signature Page"}</definedName>
    <definedName name="REOS" localSheetId="0" hidden="1">{#N/A,#N/A,FALSE,"Income";#N/A,#N/A,FALSE,"Expenses";#N/A,#N/A,FALSE,"Loan Options";#N/A,#N/A,FALSE,"Sources &amp; Uses";#N/A,#N/A,FALSE,"Spreadsheet";#N/A,#N/A,FALSE,"Exec. Summ";#N/A,#N/A,FALSE,"Bond ";#N/A,#N/A,FALSE,"Worksheet"}</definedName>
    <definedName name="REOS" hidden="1">{#N/A,#N/A,FALSE,"Income";#N/A,#N/A,FALSE,"Expenses";#N/A,#N/A,FALSE,"Loan Options";#N/A,#N/A,FALSE,"Sources &amp; Uses";#N/A,#N/A,FALSE,"Spreadsheet";#N/A,#N/A,FALSE,"Exec. Summ";#N/A,#N/A,FALSE,"Bond ";#N/A,#N/A,FALSE,"Worksheet"}</definedName>
    <definedName name="solver_cvg" hidden="1">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pre" hidden="1">0.000001</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Spalte4">"$4"</definedName>
    <definedName name="wrn.2013._.for._.a._.223f." localSheetId="0" hidden="1">{"Page 1",#N/A,FALSE,"Page 1";"Page 2",#N/A,FALSE,"Page 2";"Page 3",#N/A,FALSE,"Page 3";"Page 4",#N/A,FALSE,"Page 4";"Page 5",#N/A,FALSE,"Page 5";"sett req 223f",#N/A,FALSE,"223(f) Settlement Requirements"}</definedName>
    <definedName name="wrn.2013._.for._.a._.223f." hidden="1">{"Page 1",#N/A,FALSE,"Page 1";"Page 2",#N/A,FALSE,"Page 2";"Page 3",#N/A,FALSE,"Page 3";"Page 4",#N/A,FALSE,"Page 4";"Page 5",#N/A,FALSE,"Page 5";"sett req 223f",#N/A,FALSE,"223(f) Settlement Requirements"}</definedName>
    <definedName name="wrn.2013._.for._.a._.d4." localSheetId="0" hidden="1">{"Page 1",#N/A,FALSE,"Page 1";"Page 2",#N/A,FALSE,"Page 2";"Page 3",#N/A,FALSE,"Page 3";"Page 4",#N/A,FALSE,"Page 4";"Page 5",#N/A,FALSE,"Page 5"}</definedName>
    <definedName name="wrn.2013._.for._.a._.d4." hidden="1">{"Page 1",#N/A,FALSE,"Page 1";"Page 2",#N/A,FALSE,"Page 2";"Page 3",#N/A,FALSE,"Page 3";"Page 4",#N/A,FALSE,"Page 4";"Page 5",#N/A,FALSE,"Page 5"}</definedName>
    <definedName name="wrn.92264." localSheetId="0" hidden="1">{"Page8",#N/A,FALSE,"92264 Page 8";"Page7",#N/A,FALSE,"92264 Page 7";"Page6",#N/A,FALSE,"92264 Page 6";"Page5",#N/A,FALSE,"92264 Page 5";"Page4",#N/A,FALSE,"92264 Page 4";"Page3",#N/A,FALSE,"92264 Page 3";"Page2",#N/A,FALSE,"92264 Page 2";"Page1",#N/A,FALSE,"92264 Page 1"}</definedName>
    <definedName name="wrn.92264." hidden="1">{"Page8",#N/A,FALSE,"92264 Page 8";"Page7",#N/A,FALSE,"92264 Page 7";"Page6",#N/A,FALSE,"92264 Page 6";"Page5",#N/A,FALSE,"92264 Page 5";"Page4",#N/A,FALSE,"92264 Page 4";"Page3",#N/A,FALSE,"92264 Page 3";"Page2",#N/A,FALSE,"92264 Page 2";"Page1",#N/A,FALSE,"92264 Page 1"}</definedName>
    <definedName name="wrn.Committee._.Package." localSheetId="0" hidden="1">{#N/A,#N/A,FALSE,"Signature Page";#N/A,#N/A,FALSE,"Summary I";#N/A,#N/A,FALSE,"Summary II";#N/A,#N/A,FALSE,"Borr";#N/A,#N/A,FALSE,"KeyI";#N/A,#N/A,FALSE,"REOI";#N/A,#N/A,FALSE,"Income";#N/A,#N/A,FALSE,"Expenses";#N/A,#N/A,FALSE,"Summary III";#N/A,#N/A,FALSE,"Spreadsheet";#N/A,#N/A,FALSE,"Exit Strategy";#N/A,#N/A,FALSE,"CashColl";#N/A,#N/A,FALSE,"Sources &amp; Uses"}</definedName>
    <definedName name="wrn.Committee._.Package." hidden="1">{#N/A,#N/A,FALSE,"Signature Page";#N/A,#N/A,FALSE,"Summary I";#N/A,#N/A,FALSE,"Summary II";#N/A,#N/A,FALSE,"Borr";#N/A,#N/A,FALSE,"KeyI";#N/A,#N/A,FALSE,"REOI";#N/A,#N/A,FALSE,"Income";#N/A,#N/A,FALSE,"Expenses";#N/A,#N/A,FALSE,"Summary III";#N/A,#N/A,FALSE,"Spreadsheet";#N/A,#N/A,FALSE,"Exit Strategy";#N/A,#N/A,FALSE,"CashColl";#N/A,#N/A,FALSE,"Sources &amp; Uses"}</definedName>
    <definedName name="wrn.Lower._.Tier._.Analysis." localSheetId="0" hidden="1">{#N/A,#N/A,TRUE,"Summary";#N/A,#N/A,TRUE,"Sources and Uses";#N/A,#N/A,TRUE,"Qualified Basis";#N/A,#N/A,TRUE,"Rent and Unit Mix";#N/A,#N/A,TRUE,"Stabilized";#N/A,#N/A,TRUE,"Proforma Operations";#N/A,#N/A,TRUE,"Lease-Up";#N/A,#N/A,TRUE,"Tax Credit Analysis";#N/A,#N/A,TRUE,"Buyer's IRR";#N/A,#N/A,TRUE,"Exhibit A";#N/A,#N/A,TRUE,"Developer Fee Schedule";#N/A,#N/A,TRUE,"Min. Gain Calc.";#N/A,#N/A,TRUE,"Min. Gain Calc. 3-3-5"}</definedName>
    <definedName name="wrn.Lower._.Tier._.Analysis." hidden="1">{#N/A,#N/A,TRUE,"Summary";#N/A,#N/A,TRUE,"Sources and Uses";#N/A,#N/A,TRUE,"Qualified Basis";#N/A,#N/A,TRUE,"Rent and Unit Mix";#N/A,#N/A,TRUE,"Stabilized";#N/A,#N/A,TRUE,"Proforma Operations";#N/A,#N/A,TRUE,"Lease-Up";#N/A,#N/A,TRUE,"Tax Credit Analysis";#N/A,#N/A,TRUE,"Buyer's IRR";#N/A,#N/A,TRUE,"Exhibit A";#N/A,#N/A,TRUE,"Developer Fee Schedule";#N/A,#N/A,TRUE,"Min. Gain Calc.";#N/A,#N/A,TRUE,"Min. Gain Calc. 3-3-5"}</definedName>
    <definedName name="wrn.PRINT._.ALL." localSheetId="0" hidden="1">{"page1",#N/A,FALSE,"2013";"page2",#N/A,FALSE,"2013";"page3",#N/A,FALSE,"2013";"page4",#N/A,FALSE,"2013";"page5",#N/A,FALSE,"2013";"mortgage calc",#N/A,FALSE,"2013"}</definedName>
    <definedName name="wrn.PRINT._.ALL." hidden="1">{"page1",#N/A,FALSE,"2013";"page2",#N/A,FALSE,"2013";"page3",#N/A,FALSE,"2013";"page4",#N/A,FALSE,"2013";"page5",#N/A,FALSE,"2013";"mortgage calc",#N/A,FALSE,"2013"}</definedName>
    <definedName name="wrn.Underwriting._.Report." localSheetId="0" hidden="1">{#N/A,#N/A,TRUE,"Summary I";#N/A,#N/A,TRUE,"Signature Page";#N/A,#N/A,TRUE,"Summary II";#N/A,#N/A,TRUE,"Summary III";#N/A,#N/A,TRUE,"Income";#N/A,#N/A,TRUE,"Expenses";#N/A,#N/A,TRUE,"Spreadsheet";#N/A,#N/A,TRUE,"Screening ";#N/A,#N/A,TRUE,"Comments";#N/A,#N/A,TRUE,"Exit Strategy";#N/A,#N/A,TRUE,"CashColl";#N/A,#N/A,TRUE,"Reserves";#N/A,#N/A,TRUE,"Pricing";#N/A,#N/A,TRUE,"Sources &amp; Uses";#N/A,#N/A,TRUE,"Loan Options ";#N/A,#N/A,TRUE,"RE TAX Phase-In";#N/A,#N/A,TRUE,"Commercial leases";#N/A,#N/A,TRUE,"Immediate Repairs";#N/A,#N/A,TRUE,"Borr";#N/A,#N/A,TRUE,"KeyI";#N/A,#N/A,TRUE,"REOI";#N/A,#N/A,TRUE,"KeyII";#N/A,#N/A,TRUE,"REOII";#N/A,#N/A,TRUE,"Data";#N/A,#N/A,TRUE,"Waivers &amp; Conditions"}</definedName>
    <definedName name="wrn.Underwriting._.Report." hidden="1">{#N/A,#N/A,TRUE,"Summary I";#N/A,#N/A,TRUE,"Signature Page";#N/A,#N/A,TRUE,"Summary II";#N/A,#N/A,TRUE,"Summary III";#N/A,#N/A,TRUE,"Income";#N/A,#N/A,TRUE,"Expenses";#N/A,#N/A,TRUE,"Spreadsheet";#N/A,#N/A,TRUE,"Screening ";#N/A,#N/A,TRUE,"Comments";#N/A,#N/A,TRUE,"Exit Strategy";#N/A,#N/A,TRUE,"CashColl";#N/A,#N/A,TRUE,"Reserves";#N/A,#N/A,TRUE,"Pricing";#N/A,#N/A,TRUE,"Sources &amp; Uses";#N/A,#N/A,TRUE,"Loan Options ";#N/A,#N/A,TRUE,"RE TAX Phase-In";#N/A,#N/A,TRUE,"Commercial leases";#N/A,#N/A,TRUE,"Immediate Repairs";#N/A,#N/A,TRUE,"Borr";#N/A,#N/A,TRUE,"KeyI";#N/A,#N/A,TRUE,"REOI";#N/A,#N/A,TRUE,"KeyII";#N/A,#N/A,TRUE,"REOII";#N/A,#N/A,TRUE,"Data";#N/A,#N/A,TRUE,"Waivers &amp; Conditions"}</definedName>
    <definedName name="Z_1ECE83C7_A3CE_4F97_BFD3_498FF783C0D9_.wvu.PrintArea" localSheetId="9" hidden="1">'Development Budget'!$A$1:$M$77</definedName>
    <definedName name="Z_1ECE83C7_A3CE_4F97_BFD3_498FF783C0D9_.wvu.PrintArea" localSheetId="3" hidden="1">'Sources and Uses'!$A$6:$J$44</definedName>
    <definedName name="Z_1ECE83C7_A3CE_4F97_BFD3_498FF783C0D9_.wvu.PrintArea" localSheetId="1" hidden="1">Summary!$B$4:$F$39</definedName>
    <definedName name="Z_1ECE83C7_A3CE_4F97_BFD3_498FF783C0D9_.wvu.PrintArea" localSheetId="6" hidden="1">'Units &amp; Income'!$A$2:$I$42</definedName>
    <definedName name="Z_25C4E7E7_1006_4A2D_BC83_AEE4ADF8A914_.wvu.PrintArea" localSheetId="9" hidden="1">'Development Budget'!$A$1:$M$77</definedName>
    <definedName name="Z_25C4E7E7_1006_4A2D_BC83_AEE4ADF8A914_.wvu.PrintArea" localSheetId="3" hidden="1">'Sources and Uses'!$A$6:$J$44</definedName>
    <definedName name="Z_25C4E7E7_1006_4A2D_BC83_AEE4ADF8A914_.wvu.PrintArea" localSheetId="1" hidden="1">Summary!$B$4:$F$39</definedName>
    <definedName name="Z_25C4E7E7_1006_4A2D_BC83_AEE4ADF8A914_.wvu.PrintArea" localSheetId="6" hidden="1">'Units &amp; Income'!$A$2:$I$42</definedName>
    <definedName name="Z_28F81D13_D146_4D67_8981_BA5D7A496326_.wvu.PrintArea" localSheetId="9" hidden="1">'Development Budget'!$A$1:$K$78</definedName>
    <definedName name="Z_28F81D13_D146_4D67_8981_BA5D7A496326_.wvu.PrintArea" localSheetId="3" hidden="1">'Sources and Uses'!$A$6:$I$44</definedName>
    <definedName name="Z_28F81D13_D146_4D67_8981_BA5D7A496326_.wvu.PrintArea" localSheetId="1" hidden="1">Summary!$B$4:$E$39</definedName>
    <definedName name="Z_28F81D13_D146_4D67_8981_BA5D7A496326_.wvu.PrintArea" localSheetId="6" hidden="1">'Units &amp; Income'!$A$2:$I$42</definedName>
    <definedName name="Z_560D4AFA_61E5_46C3_B0CD_D0EB3053A033_.wvu.PrintArea" localSheetId="9" hidden="1">'Development Budget'!$A$1:$M$77</definedName>
    <definedName name="Z_560D4AFA_61E5_46C3_B0CD_D0EB3053A033_.wvu.PrintArea" localSheetId="3" hidden="1">'Sources and Uses'!$A$6:$J$44</definedName>
    <definedName name="Z_560D4AFA_61E5_46C3_B0CD_D0EB3053A033_.wvu.PrintArea" localSheetId="1" hidden="1">Summary!$B$4:$F$39</definedName>
    <definedName name="Z_560D4AFA_61E5_46C3_B0CD_D0EB3053A033_.wvu.PrintArea" localSheetId="6" hidden="1">'Units &amp; Income'!$A$2:$I$42</definedName>
    <definedName name="Z_6EF643BE_69F3_424E_8A44_3890161370D4_.wvu.PrintArea" localSheetId="9" hidden="1">'Development Budget'!$A$1:$K$78</definedName>
    <definedName name="Z_6EF643BE_69F3_424E_8A44_3890161370D4_.wvu.PrintArea" localSheetId="3" hidden="1">'Sources and Uses'!$A$6:$I$44</definedName>
    <definedName name="Z_6EF643BE_69F3_424E_8A44_3890161370D4_.wvu.PrintArea" localSheetId="1" hidden="1">Summary!$B$4:$E$39</definedName>
    <definedName name="Z_6EF643BE_69F3_424E_8A44_3890161370D4_.wvu.PrintArea" localSheetId="6" hidden="1">'Units &amp; Income'!$A$2:$I$42</definedName>
    <definedName name="Z_AEA5979F_5357_4ED6_A6CA_1BB80F5C7A74_.wvu.PrintArea" localSheetId="9" hidden="1">'Development Budget'!$A$1:$K$78</definedName>
    <definedName name="Z_AEA5979F_5357_4ED6_A6CA_1BB80F5C7A74_.wvu.PrintArea" localSheetId="3" hidden="1">'Sources and Uses'!$A$6:$I$44</definedName>
    <definedName name="Z_AEA5979F_5357_4ED6_A6CA_1BB80F5C7A74_.wvu.PrintArea" localSheetId="1" hidden="1">Summary!$B$4:$E$39</definedName>
    <definedName name="Z_AEA5979F_5357_4ED6_A6CA_1BB80F5C7A74_.wvu.PrintArea" localSheetId="6" hidden="1">'Units &amp; Income'!$A$2:$I$42</definedName>
    <definedName name="Z_EB776EFC_3589_4DB5_BEAF_1E83D9703F9E_.wvu.PrintArea" localSheetId="9" hidden="1">'Development Budget'!$A$1:$K$78</definedName>
    <definedName name="Z_EB776EFC_3589_4DB5_BEAF_1E83D9703F9E_.wvu.PrintArea" localSheetId="6" hidden="1">'Units &amp; Income'!$A$2:$I$42</definedName>
    <definedName name="Z_FBB4BF8E_8A9F_4E98_A6F9_5F9BF4C55C67_.wvu.PrintArea" localSheetId="9" hidden="1">'Development Budget'!$A$1:$K$78</definedName>
    <definedName name="Z_FBB4BF8E_8A9F_4E98_A6F9_5F9BF4C55C67_.wvu.PrintArea" localSheetId="6" hidden="1">'Units &amp; Income'!$A$2:$I$42</definedName>
  </definedNames>
  <calcPr calcId="191029" calcMode="autoNoTable" iterate="1"/>
  <customWorkbookViews>
    <customWorkbookView name="framirez - Personal View" guid="{25C4E7E7-1006-4A2D-BC83-AEE4ADF8A914}" mergeInterval="0" personalView="1" maximized="1" windowWidth="796" windowHeight="402" tabRatio="734" activeSheetId="4"/>
    <customWorkbookView name="Shelly Fox - Personal View" guid="{28F81D13-D146-4D67-8981-BA5D7A496326}" mergeInterval="0" personalView="1" maximized="1" windowWidth="796" windowHeight="428" tabRatio="601" activeSheetId="5"/>
    <customWorkbookView name="grodney - Personal View" guid="{AEA5979F-5357-4ED6-A6CA-1BB80F5C7A74}" mergeInterval="0" personalView="1" maximized="1" windowWidth="1020" windowHeight="604" tabRatio="601" activeSheetId="1"/>
    <customWorkbookView name="  - Personal View" guid="{EB776EFC-3589-4DB5-BEAF-1E83D9703F9E}" mergeInterval="0" personalView="1" maximized="1" windowWidth="1020" windowHeight="632" tabRatio="601" activeSheetId="3"/>
    <customWorkbookView name="rgrossman - Personal View" guid="{FBB4BF8E-8A9F-4E98-A6F9-5F9BF4C55C67}" mergeInterval="0" personalView="1" maximized="1" windowWidth="796" windowHeight="411" tabRatio="601" activeSheetId="5"/>
    <customWorkbookView name="akoffman - Personal View" guid="{6EF643BE-69F3-424E-8A44-3890161370D4}" mergeInterval="0" personalView="1" maximized="1" windowWidth="796" windowHeight="411" tabRatio="601" activeSheetId="5"/>
    <customWorkbookView name="dandrepont - Personal View" guid="{1ECE83C7-A3CE-4F97-BFD3-498FF783C0D9}" mergeInterval="0" personalView="1" xWindow="365" yWindow="33" windowWidth="649" windowHeight="528" tabRatio="734" activeSheetId="5"/>
    <customWorkbookView name="NYC - Personal View" guid="{560D4AFA-61E5-46C3-B0CD-D0EB3053A033}" mergeInterval="0" personalView="1" maximized="1" windowWidth="994" windowHeight="554" tabRatio="734" activeSheetId="10"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2" i="22" l="1"/>
  <c r="A8" i="22"/>
  <c r="AJ8" i="22"/>
  <c r="V8" i="22"/>
  <c r="X8" i="22"/>
  <c r="Z8" i="22"/>
  <c r="AB8" i="22"/>
  <c r="AD8" i="22" s="1"/>
  <c r="AF8" i="22" s="1"/>
  <c r="AH8" i="22" s="1"/>
  <c r="J45" i="1"/>
  <c r="J46" i="1"/>
  <c r="K92" i="1"/>
  <c r="E8" i="22" s="1"/>
  <c r="F8" i="22" l="1"/>
  <c r="A9" i="2"/>
  <c r="A8" i="2"/>
  <c r="A30" i="2"/>
  <c r="G8" i="22" l="1"/>
  <c r="A26" i="2"/>
  <c r="A25" i="2"/>
  <c r="H8" i="22" l="1"/>
  <c r="D17" i="53"/>
  <c r="I8" i="22" l="1"/>
  <c r="G40" i="21"/>
  <c r="G39" i="21"/>
  <c r="J8" i="22" l="1"/>
  <c r="G41" i="21"/>
  <c r="K8" i="22" l="1"/>
  <c r="E31" i="22"/>
  <c r="Y69" i="41"/>
  <c r="L8" i="22" l="1"/>
  <c r="A31" i="2"/>
  <c r="M8" i="22" l="1"/>
  <c r="G16" i="53"/>
  <c r="E16" i="53"/>
  <c r="N8" i="22" l="1"/>
  <c r="E30" i="22"/>
  <c r="F30" i="22" s="1"/>
  <c r="G30" i="22" s="1"/>
  <c r="H30" i="22" s="1"/>
  <c r="I30" i="22" s="1"/>
  <c r="J30" i="22" s="1"/>
  <c r="K30" i="22" s="1"/>
  <c r="L30" i="22" s="1"/>
  <c r="M30" i="22" s="1"/>
  <c r="N30" i="22" s="1"/>
  <c r="O30" i="22" s="1"/>
  <c r="P30" i="22" s="1"/>
  <c r="Q30" i="22" s="1"/>
  <c r="R30" i="22" s="1"/>
  <c r="S30" i="22" s="1"/>
  <c r="U30" i="22" s="1"/>
  <c r="V30" i="22" s="1"/>
  <c r="W30" i="22" s="1"/>
  <c r="X30" i="22" s="1"/>
  <c r="Y30" i="22" s="1"/>
  <c r="Z30" i="22" s="1"/>
  <c r="AA30" i="22" s="1"/>
  <c r="AB30" i="22" s="1"/>
  <c r="AC30" i="22" s="1"/>
  <c r="AD30" i="22" s="1"/>
  <c r="AE30" i="22" s="1"/>
  <c r="AF30" i="22" s="1"/>
  <c r="AG30" i="22" s="1"/>
  <c r="AH30" i="22" s="1"/>
  <c r="AI30" i="22" s="1"/>
  <c r="O8" i="22" l="1"/>
  <c r="F31" i="22"/>
  <c r="G31" i="22" s="1"/>
  <c r="H31" i="22" s="1"/>
  <c r="I31" i="22" s="1"/>
  <c r="J31" i="22" s="1"/>
  <c r="K31" i="22" s="1"/>
  <c r="L31" i="22" s="1"/>
  <c r="M31" i="22" s="1"/>
  <c r="N31" i="22" s="1"/>
  <c r="O31" i="22" s="1"/>
  <c r="P31" i="22" s="1"/>
  <c r="Q31" i="22" s="1"/>
  <c r="R31" i="22" s="1"/>
  <c r="S31" i="22" s="1"/>
  <c r="U31" i="22" s="1"/>
  <c r="V31" i="22" s="1"/>
  <c r="W31" i="22" s="1"/>
  <c r="X31" i="22" s="1"/>
  <c r="Y31" i="22" s="1"/>
  <c r="Z31" i="22" s="1"/>
  <c r="AA31" i="22" s="1"/>
  <c r="AB31" i="22" s="1"/>
  <c r="AC31" i="22" s="1"/>
  <c r="AD31" i="22" s="1"/>
  <c r="AE31" i="22" s="1"/>
  <c r="AF31" i="22" s="1"/>
  <c r="AG31" i="22" s="1"/>
  <c r="AH31" i="22" s="1"/>
  <c r="AI31" i="22" s="1"/>
  <c r="P8" i="22" l="1"/>
  <c r="G22" i="5"/>
  <c r="I23" i="5"/>
  <c r="H24" i="5"/>
  <c r="J12" i="5"/>
  <c r="I12" i="5"/>
  <c r="Q8" i="22" l="1"/>
  <c r="N83" i="1"/>
  <c r="R8" i="22" l="1"/>
  <c r="A29" i="2"/>
  <c r="A28" i="2"/>
  <c r="A27" i="2"/>
  <c r="S8" i="22" l="1"/>
  <c r="C53" i="45"/>
  <c r="B53" i="45"/>
  <c r="U8" i="22" l="1"/>
  <c r="L76" i="5"/>
  <c r="W8" i="22" l="1"/>
  <c r="AF7" i="41"/>
  <c r="AF8" i="41"/>
  <c r="AF9" i="41"/>
  <c r="AF10" i="41"/>
  <c r="AF11" i="41"/>
  <c r="AF12" i="41"/>
  <c r="AF13" i="41"/>
  <c r="AF14" i="41"/>
  <c r="AF15" i="41"/>
  <c r="AF16" i="41"/>
  <c r="AF17" i="41"/>
  <c r="AF18" i="41"/>
  <c r="AF19" i="41"/>
  <c r="AF20" i="41"/>
  <c r="AF21" i="41"/>
  <c r="AF22" i="41"/>
  <c r="AF23" i="41"/>
  <c r="AF24" i="41"/>
  <c r="AF25" i="41"/>
  <c r="AF26" i="41"/>
  <c r="AF27" i="41"/>
  <c r="AF28" i="41"/>
  <c r="AF29" i="41"/>
  <c r="AF30" i="41"/>
  <c r="AF31" i="41"/>
  <c r="AF32" i="41"/>
  <c r="AF33" i="41"/>
  <c r="AF34" i="41"/>
  <c r="AF35" i="41"/>
  <c r="AF36" i="41"/>
  <c r="AF37" i="41"/>
  <c r="AF38" i="41"/>
  <c r="AF39" i="41"/>
  <c r="AF40" i="41"/>
  <c r="AF41" i="41"/>
  <c r="AF42" i="41"/>
  <c r="AF43" i="41"/>
  <c r="AF44" i="41"/>
  <c r="AF45" i="41"/>
  <c r="AF46" i="41"/>
  <c r="AF47" i="41"/>
  <c r="AF48" i="41"/>
  <c r="AF49" i="41"/>
  <c r="AF50" i="41"/>
  <c r="AF51" i="41"/>
  <c r="AF52" i="41"/>
  <c r="AF53" i="41"/>
  <c r="AF54" i="41"/>
  <c r="AF55" i="41"/>
  <c r="AF56" i="41"/>
  <c r="AF57" i="41"/>
  <c r="AF58" i="41"/>
  <c r="AF59" i="41"/>
  <c r="AF60" i="41"/>
  <c r="AF61" i="41"/>
  <c r="AF62" i="41"/>
  <c r="AF63" i="41"/>
  <c r="AF64" i="41"/>
  <c r="AF65" i="41"/>
  <c r="AF66" i="41"/>
  <c r="AF67" i="41"/>
  <c r="AF6" i="41"/>
  <c r="Y8" i="22" l="1"/>
  <c r="C55" i="5"/>
  <c r="AA8" i="22" l="1"/>
  <c r="G204" i="53"/>
  <c r="G205" i="53"/>
  <c r="G206" i="53"/>
  <c r="G207" i="53"/>
  <c r="G208" i="53"/>
  <c r="G209" i="53"/>
  <c r="G210" i="53"/>
  <c r="G211" i="53"/>
  <c r="G212" i="53"/>
  <c r="G213" i="53"/>
  <c r="G214" i="53"/>
  <c r="G215" i="53"/>
  <c r="G216" i="53"/>
  <c r="G217" i="53"/>
  <c r="G218" i="53"/>
  <c r="G219" i="53"/>
  <c r="G220" i="53"/>
  <c r="G221" i="53"/>
  <c r="G222" i="53"/>
  <c r="G223" i="53"/>
  <c r="G224" i="53"/>
  <c r="G225" i="53"/>
  <c r="G226" i="53"/>
  <c r="G227" i="53"/>
  <c r="G228" i="53"/>
  <c r="G229" i="53"/>
  <c r="G230" i="53"/>
  <c r="G203" i="53"/>
  <c r="D204" i="53"/>
  <c r="D205" i="53"/>
  <c r="D206" i="53"/>
  <c r="D207" i="53"/>
  <c r="D208" i="53"/>
  <c r="D209" i="53"/>
  <c r="D210" i="53"/>
  <c r="D211" i="53"/>
  <c r="D212" i="53"/>
  <c r="D213" i="53"/>
  <c r="D214" i="53"/>
  <c r="D215" i="53"/>
  <c r="D216" i="53"/>
  <c r="D217" i="53"/>
  <c r="D218" i="53"/>
  <c r="D219" i="53"/>
  <c r="D220" i="53"/>
  <c r="D221" i="53"/>
  <c r="D222" i="53"/>
  <c r="D223" i="53"/>
  <c r="D224" i="53"/>
  <c r="D225" i="53"/>
  <c r="D226" i="53"/>
  <c r="D227" i="53"/>
  <c r="D228" i="53"/>
  <c r="D229" i="53"/>
  <c r="D230" i="53"/>
  <c r="D203" i="53"/>
  <c r="D253" i="53" s="1"/>
  <c r="AC8" i="22" l="1"/>
  <c r="B3" i="2"/>
  <c r="B4" i="2"/>
  <c r="AE8" i="22" l="1"/>
  <c r="B154" i="53"/>
  <c r="B155" i="53"/>
  <c r="B156" i="53"/>
  <c r="B157" i="53"/>
  <c r="B158" i="53"/>
  <c r="B159" i="53"/>
  <c r="B160" i="53"/>
  <c r="B161" i="53"/>
  <c r="B162" i="53"/>
  <c r="B163" i="53"/>
  <c r="B164" i="53"/>
  <c r="B165" i="53"/>
  <c r="B166" i="53"/>
  <c r="B167" i="53"/>
  <c r="B168" i="53"/>
  <c r="B169" i="53"/>
  <c r="B170" i="53"/>
  <c r="AG8" i="22" l="1"/>
  <c r="G255" i="53"/>
  <c r="G256" i="53"/>
  <c r="G257" i="53"/>
  <c r="G258" i="53"/>
  <c r="G259" i="53"/>
  <c r="G260" i="53"/>
  <c r="G261" i="53"/>
  <c r="G262" i="53"/>
  <c r="G263" i="53"/>
  <c r="G264" i="53"/>
  <c r="G265" i="53"/>
  <c r="G266" i="53"/>
  <c r="G267" i="53"/>
  <c r="G268" i="53"/>
  <c r="G269" i="53"/>
  <c r="G270" i="53"/>
  <c r="G271" i="53"/>
  <c r="G272" i="53"/>
  <c r="G273" i="53"/>
  <c r="G274" i="53"/>
  <c r="G275" i="53"/>
  <c r="G276" i="53"/>
  <c r="G277" i="53"/>
  <c r="G278" i="53"/>
  <c r="G279" i="53"/>
  <c r="G280" i="53"/>
  <c r="D255" i="53"/>
  <c r="D256" i="53"/>
  <c r="D257" i="53"/>
  <c r="D258" i="53"/>
  <c r="D259" i="53"/>
  <c r="D260" i="53"/>
  <c r="D261" i="53"/>
  <c r="D262" i="53"/>
  <c r="D263" i="53"/>
  <c r="D264" i="53"/>
  <c r="D265" i="53"/>
  <c r="D266" i="53"/>
  <c r="D267" i="53"/>
  <c r="D268" i="53"/>
  <c r="D269" i="53"/>
  <c r="D270" i="53"/>
  <c r="D271" i="53"/>
  <c r="D272" i="53"/>
  <c r="D273" i="53"/>
  <c r="D274" i="53"/>
  <c r="D275" i="53"/>
  <c r="D276" i="53"/>
  <c r="D277" i="53"/>
  <c r="D278" i="53"/>
  <c r="D279" i="53"/>
  <c r="D280" i="53"/>
  <c r="G254" i="53"/>
  <c r="G253" i="53"/>
  <c r="D254" i="53"/>
  <c r="G156" i="53"/>
  <c r="G157" i="53"/>
  <c r="G158" i="53"/>
  <c r="G159" i="53"/>
  <c r="G160" i="53"/>
  <c r="G161" i="53"/>
  <c r="G162" i="53"/>
  <c r="G163" i="53"/>
  <c r="G164" i="53"/>
  <c r="G165" i="53"/>
  <c r="G166" i="53"/>
  <c r="G167" i="53"/>
  <c r="G168" i="53"/>
  <c r="G169" i="53"/>
  <c r="G170" i="53"/>
  <c r="G171" i="53"/>
  <c r="G172" i="53"/>
  <c r="G173" i="53"/>
  <c r="G174" i="53"/>
  <c r="G175" i="53"/>
  <c r="G176" i="53"/>
  <c r="G177" i="53"/>
  <c r="G178" i="53"/>
  <c r="G179" i="53"/>
  <c r="G180" i="53"/>
  <c r="G181" i="53"/>
  <c r="G155" i="53"/>
  <c r="G154" i="53"/>
  <c r="D156" i="53"/>
  <c r="D157" i="53"/>
  <c r="D158" i="53"/>
  <c r="D159" i="53"/>
  <c r="D160" i="53"/>
  <c r="D161" i="53"/>
  <c r="D162" i="53"/>
  <c r="D163" i="53"/>
  <c r="D164" i="53"/>
  <c r="D165" i="53"/>
  <c r="D166" i="53"/>
  <c r="D167" i="53"/>
  <c r="D168" i="53"/>
  <c r="D169" i="53"/>
  <c r="D170" i="53"/>
  <c r="D171" i="53"/>
  <c r="D172" i="53"/>
  <c r="D173" i="53"/>
  <c r="D174" i="53"/>
  <c r="D175" i="53"/>
  <c r="D176" i="53"/>
  <c r="D177" i="53"/>
  <c r="D178" i="53"/>
  <c r="D179" i="53"/>
  <c r="D180" i="53"/>
  <c r="D181" i="53"/>
  <c r="D155" i="53"/>
  <c r="D154" i="53"/>
  <c r="B153" i="53"/>
  <c r="B202" i="53" s="1"/>
  <c r="B252" i="53" s="1"/>
  <c r="AI8" i="22" l="1"/>
  <c r="B204" i="53"/>
  <c r="B254" i="53" s="1"/>
  <c r="B205" i="53"/>
  <c r="B255" i="53" s="1"/>
  <c r="B206" i="53"/>
  <c r="B256" i="53" s="1"/>
  <c r="B207" i="53"/>
  <c r="B257" i="53" s="1"/>
  <c r="B208" i="53"/>
  <c r="B258" i="53" s="1"/>
  <c r="B209" i="53"/>
  <c r="B259" i="53" s="1"/>
  <c r="B210" i="53"/>
  <c r="B260" i="53" s="1"/>
  <c r="B211" i="53"/>
  <c r="B261" i="53" s="1"/>
  <c r="B212" i="53"/>
  <c r="B262" i="53" s="1"/>
  <c r="B213" i="53"/>
  <c r="B263" i="53" s="1"/>
  <c r="B214" i="53"/>
  <c r="B264" i="53" s="1"/>
  <c r="B215" i="53"/>
  <c r="B265" i="53" s="1"/>
  <c r="B216" i="53"/>
  <c r="B266" i="53" s="1"/>
  <c r="B217" i="53"/>
  <c r="B267" i="53" s="1"/>
  <c r="B218" i="53"/>
  <c r="B268" i="53" s="1"/>
  <c r="B219" i="53"/>
  <c r="B269" i="53" s="1"/>
  <c r="B171" i="53"/>
  <c r="B220" i="53" s="1"/>
  <c r="B270" i="53" s="1"/>
  <c r="B172" i="53"/>
  <c r="B221" i="53" s="1"/>
  <c r="B271" i="53" s="1"/>
  <c r="B173" i="53"/>
  <c r="B222" i="53" s="1"/>
  <c r="B272" i="53" s="1"/>
  <c r="B174" i="53"/>
  <c r="B223" i="53" s="1"/>
  <c r="B273" i="53" s="1"/>
  <c r="B175" i="53"/>
  <c r="B224" i="53" s="1"/>
  <c r="B274" i="53" s="1"/>
  <c r="B176" i="53"/>
  <c r="B225" i="53" s="1"/>
  <c r="B275" i="53" s="1"/>
  <c r="B177" i="53"/>
  <c r="B226" i="53" s="1"/>
  <c r="B276" i="53" s="1"/>
  <c r="B178" i="53"/>
  <c r="B227" i="53" s="1"/>
  <c r="B277" i="53" s="1"/>
  <c r="B179" i="53"/>
  <c r="B228" i="53" s="1"/>
  <c r="B278" i="53" s="1"/>
  <c r="B180" i="53"/>
  <c r="B229" i="53" s="1"/>
  <c r="B279" i="53" s="1"/>
  <c r="B181" i="53"/>
  <c r="B230" i="53" s="1"/>
  <c r="B280" i="53" s="1"/>
  <c r="B203" i="53"/>
  <c r="B253" i="53" s="1"/>
  <c r="G281" i="53"/>
  <c r="F281" i="53"/>
  <c r="D281" i="53"/>
  <c r="C281" i="53"/>
  <c r="H280" i="53"/>
  <c r="E280" i="53"/>
  <c r="H279" i="53"/>
  <c r="E279" i="53"/>
  <c r="H278" i="53"/>
  <c r="E278" i="53"/>
  <c r="H277" i="53"/>
  <c r="E277" i="53"/>
  <c r="H276" i="53"/>
  <c r="E276" i="53"/>
  <c r="H275" i="53"/>
  <c r="E275" i="53"/>
  <c r="H274" i="53"/>
  <c r="E274" i="53"/>
  <c r="H273" i="53"/>
  <c r="E273" i="53"/>
  <c r="H272" i="53"/>
  <c r="E272" i="53"/>
  <c r="H271" i="53"/>
  <c r="E271" i="53"/>
  <c r="H270" i="53"/>
  <c r="E270" i="53"/>
  <c r="H269" i="53"/>
  <c r="E269" i="53"/>
  <c r="H268" i="53"/>
  <c r="E268" i="53"/>
  <c r="H267" i="53"/>
  <c r="E267" i="53"/>
  <c r="H266" i="53"/>
  <c r="E266" i="53"/>
  <c r="H265" i="53"/>
  <c r="E265" i="53"/>
  <c r="H264" i="53"/>
  <c r="E264" i="53"/>
  <c r="H263" i="53"/>
  <c r="E263" i="53"/>
  <c r="H262" i="53"/>
  <c r="E262" i="53"/>
  <c r="H261" i="53"/>
  <c r="E261" i="53"/>
  <c r="H260" i="53"/>
  <c r="E260" i="53"/>
  <c r="H259" i="53"/>
  <c r="E259" i="53"/>
  <c r="H258" i="53"/>
  <c r="E258" i="53"/>
  <c r="H257" i="53"/>
  <c r="E257" i="53"/>
  <c r="H256" i="53"/>
  <c r="E256" i="53"/>
  <c r="H255" i="53"/>
  <c r="E255" i="53"/>
  <c r="H254" i="53"/>
  <c r="E254" i="53"/>
  <c r="H253" i="53"/>
  <c r="E253" i="53"/>
  <c r="G231" i="53"/>
  <c r="F231" i="53"/>
  <c r="D231" i="53"/>
  <c r="C231" i="53"/>
  <c r="H230" i="53"/>
  <c r="E230" i="53"/>
  <c r="H229" i="53"/>
  <c r="E229" i="53"/>
  <c r="H228" i="53"/>
  <c r="E228" i="53"/>
  <c r="H227" i="53"/>
  <c r="E227" i="53"/>
  <c r="H226" i="53"/>
  <c r="E226" i="53"/>
  <c r="H225" i="53"/>
  <c r="E225" i="53"/>
  <c r="H224" i="53"/>
  <c r="E224" i="53"/>
  <c r="H223" i="53"/>
  <c r="E223" i="53"/>
  <c r="H222" i="53"/>
  <c r="E222" i="53"/>
  <c r="H221" i="53"/>
  <c r="E221" i="53"/>
  <c r="H220" i="53"/>
  <c r="E220" i="53"/>
  <c r="H219" i="53"/>
  <c r="E219" i="53"/>
  <c r="H218" i="53"/>
  <c r="E218" i="53"/>
  <c r="H217" i="53"/>
  <c r="E217" i="53"/>
  <c r="H216" i="53"/>
  <c r="E216" i="53"/>
  <c r="H215" i="53"/>
  <c r="E215" i="53"/>
  <c r="H214" i="53"/>
  <c r="E214" i="53"/>
  <c r="H213" i="53"/>
  <c r="E213" i="53"/>
  <c r="H212" i="53"/>
  <c r="E212" i="53"/>
  <c r="H211" i="53"/>
  <c r="E211" i="53"/>
  <c r="H210" i="53"/>
  <c r="E210" i="53"/>
  <c r="H209" i="53"/>
  <c r="E209" i="53"/>
  <c r="H208" i="53"/>
  <c r="E208" i="53"/>
  <c r="H207" i="53"/>
  <c r="E207" i="53"/>
  <c r="H206" i="53"/>
  <c r="E206" i="53"/>
  <c r="H205" i="53"/>
  <c r="E205" i="53"/>
  <c r="H204" i="53"/>
  <c r="E204" i="53"/>
  <c r="H203" i="53"/>
  <c r="E203" i="53"/>
  <c r="G182" i="53"/>
  <c r="F182" i="53"/>
  <c r="D182" i="53"/>
  <c r="C182" i="53"/>
  <c r="H181" i="53"/>
  <c r="E181" i="53"/>
  <c r="H180" i="53"/>
  <c r="E180" i="53"/>
  <c r="H179" i="53"/>
  <c r="E179" i="53"/>
  <c r="H178" i="53"/>
  <c r="E178" i="53"/>
  <c r="H177" i="53"/>
  <c r="E177" i="53"/>
  <c r="H176" i="53"/>
  <c r="E176" i="53"/>
  <c r="H175" i="53"/>
  <c r="E175" i="53"/>
  <c r="H174" i="53"/>
  <c r="E174" i="53"/>
  <c r="H173" i="53"/>
  <c r="E173" i="53"/>
  <c r="H172" i="53"/>
  <c r="E172" i="53"/>
  <c r="H171" i="53"/>
  <c r="E171" i="53"/>
  <c r="H170" i="53"/>
  <c r="E170" i="53"/>
  <c r="H169" i="53"/>
  <c r="E169" i="53"/>
  <c r="H168" i="53"/>
  <c r="E168" i="53"/>
  <c r="H167" i="53"/>
  <c r="E167" i="53"/>
  <c r="H166" i="53"/>
  <c r="E166" i="53"/>
  <c r="H165" i="53"/>
  <c r="E165" i="53"/>
  <c r="H164" i="53"/>
  <c r="E164" i="53"/>
  <c r="H163" i="53"/>
  <c r="E163" i="53"/>
  <c r="H162" i="53"/>
  <c r="E162" i="53"/>
  <c r="H161" i="53"/>
  <c r="E161" i="53"/>
  <c r="H160" i="53"/>
  <c r="E160" i="53"/>
  <c r="H159" i="53"/>
  <c r="E159" i="53"/>
  <c r="H158" i="53"/>
  <c r="E158" i="53"/>
  <c r="H157" i="53"/>
  <c r="E157" i="53"/>
  <c r="H156" i="53"/>
  <c r="E156" i="53"/>
  <c r="H155" i="53"/>
  <c r="E155" i="53"/>
  <c r="H154" i="53"/>
  <c r="E154" i="53"/>
  <c r="D132" i="53"/>
  <c r="C132" i="53"/>
  <c r="I227" i="53" l="1"/>
  <c r="I275" i="53"/>
  <c r="I219" i="53"/>
  <c r="I223" i="53"/>
  <c r="I267" i="53"/>
  <c r="I170" i="53"/>
  <c r="I172" i="53"/>
  <c r="I173" i="53"/>
  <c r="I174" i="53"/>
  <c r="I175" i="53"/>
  <c r="I176" i="53"/>
  <c r="I177" i="53"/>
  <c r="I168" i="53"/>
  <c r="I214" i="53"/>
  <c r="I166" i="53"/>
  <c r="I205" i="53"/>
  <c r="I209" i="53"/>
  <c r="I204" i="53"/>
  <c r="I208" i="53"/>
  <c r="I210" i="53"/>
  <c r="I259" i="53"/>
  <c r="I206" i="53"/>
  <c r="E231" i="53"/>
  <c r="I213" i="53"/>
  <c r="I217" i="53"/>
  <c r="I221" i="53"/>
  <c r="I225" i="53"/>
  <c r="I229" i="53"/>
  <c r="I212" i="53"/>
  <c r="I216" i="53"/>
  <c r="I218" i="53"/>
  <c r="I220" i="53"/>
  <c r="I224" i="53"/>
  <c r="I226" i="53"/>
  <c r="I228" i="53"/>
  <c r="I211" i="53"/>
  <c r="I215" i="53"/>
  <c r="I230" i="53"/>
  <c r="I207" i="53"/>
  <c r="I222" i="53"/>
  <c r="I203" i="53"/>
  <c r="I167" i="53"/>
  <c r="I169" i="53"/>
  <c r="I171" i="53"/>
  <c r="I157" i="53"/>
  <c r="I254" i="53"/>
  <c r="I256" i="53"/>
  <c r="I258" i="53"/>
  <c r="I260" i="53"/>
  <c r="I262" i="53"/>
  <c r="I264" i="53"/>
  <c r="I266" i="53"/>
  <c r="I268" i="53"/>
  <c r="I270" i="53"/>
  <c r="I272" i="53"/>
  <c r="I274" i="53"/>
  <c r="I276" i="53"/>
  <c r="I278" i="53"/>
  <c r="I280" i="53"/>
  <c r="H281" i="53"/>
  <c r="I253" i="53"/>
  <c r="I257" i="53"/>
  <c r="I261" i="53"/>
  <c r="I265" i="53"/>
  <c r="I269" i="53"/>
  <c r="I273" i="53"/>
  <c r="I277" i="53"/>
  <c r="I255" i="53"/>
  <c r="I271" i="53"/>
  <c r="I263" i="53"/>
  <c r="I279" i="53"/>
  <c r="I155" i="53"/>
  <c r="I154" i="53"/>
  <c r="I156" i="53"/>
  <c r="I159" i="53"/>
  <c r="I161" i="53"/>
  <c r="I163" i="53"/>
  <c r="I165" i="53"/>
  <c r="I178" i="53"/>
  <c r="I158" i="53"/>
  <c r="I160" i="53"/>
  <c r="I162" i="53"/>
  <c r="I164" i="53"/>
  <c r="I179" i="53"/>
  <c r="I181" i="53"/>
  <c r="I180" i="53"/>
  <c r="E182" i="53"/>
  <c r="E281" i="53"/>
  <c r="H231" i="53"/>
  <c r="H182" i="53"/>
  <c r="I231" i="53" l="1"/>
  <c r="I281" i="53"/>
  <c r="I182" i="53"/>
  <c r="B2" i="2"/>
  <c r="C2" i="40"/>
  <c r="C1" i="40"/>
  <c r="AJ26" i="22" l="1"/>
  <c r="AJ25" i="22"/>
  <c r="AJ24" i="22"/>
  <c r="AJ23" i="22"/>
  <c r="AJ22" i="22"/>
  <c r="AJ19" i="22"/>
  <c r="AJ18" i="22"/>
  <c r="AJ17" i="22"/>
  <c r="AJ16" i="22"/>
  <c r="AJ15" i="22"/>
  <c r="AJ12" i="22"/>
  <c r="AJ11" i="22"/>
  <c r="AJ10" i="22"/>
  <c r="AJ9" i="22"/>
  <c r="AJ7" i="22"/>
  <c r="N68" i="1" l="1"/>
  <c r="N72" i="1"/>
  <c r="N73" i="1"/>
  <c r="N74" i="1"/>
  <c r="N78" i="1"/>
  <c r="N79" i="1"/>
  <c r="N80" i="1"/>
  <c r="N81" i="1"/>
  <c r="N82" i="1"/>
  <c r="N84" i="1"/>
  <c r="N85" i="1"/>
  <c r="N86" i="1"/>
  <c r="N87" i="1"/>
  <c r="N88" i="1"/>
  <c r="N89" i="1"/>
  <c r="N90" i="1"/>
  <c r="N49" i="1"/>
  <c r="N55" i="1"/>
  <c r="N60" i="1"/>
  <c r="N61" i="1"/>
  <c r="N66" i="1"/>
  <c r="M73" i="1"/>
  <c r="M79" i="1"/>
  <c r="M85" i="1"/>
  <c r="M55" i="1"/>
  <c r="M61" i="1"/>
  <c r="D91" i="1"/>
  <c r="K45" i="1"/>
  <c r="K46" i="1"/>
  <c r="J47" i="1"/>
  <c r="J48" i="1"/>
  <c r="K48" i="1" s="1"/>
  <c r="J49" i="1"/>
  <c r="K49" i="1" s="1"/>
  <c r="J50" i="1"/>
  <c r="K50" i="1" s="1"/>
  <c r="J51" i="1"/>
  <c r="K51" i="1" s="1"/>
  <c r="J52" i="1"/>
  <c r="K52" i="1" s="1"/>
  <c r="J53" i="1"/>
  <c r="K53" i="1" s="1"/>
  <c r="J54" i="1"/>
  <c r="K54" i="1" s="1"/>
  <c r="J55" i="1"/>
  <c r="K55" i="1" s="1"/>
  <c r="J56" i="1"/>
  <c r="K56" i="1" s="1"/>
  <c r="J57" i="1"/>
  <c r="K57" i="1" s="1"/>
  <c r="J58" i="1"/>
  <c r="K58" i="1" s="1"/>
  <c r="J59" i="1"/>
  <c r="K59" i="1" s="1"/>
  <c r="J60" i="1"/>
  <c r="K60" i="1" s="1"/>
  <c r="J61" i="1"/>
  <c r="K61" i="1" s="1"/>
  <c r="J62" i="1"/>
  <c r="K62" i="1" s="1"/>
  <c r="J63" i="1"/>
  <c r="K63" i="1" s="1"/>
  <c r="J64" i="1"/>
  <c r="K64" i="1" s="1"/>
  <c r="J65" i="1"/>
  <c r="K65" i="1" s="1"/>
  <c r="J66" i="1"/>
  <c r="K66" i="1" s="1"/>
  <c r="J67" i="1"/>
  <c r="K67" i="1" s="1"/>
  <c r="J68" i="1"/>
  <c r="K68" i="1" s="1"/>
  <c r="J69" i="1"/>
  <c r="K69" i="1" s="1"/>
  <c r="J70" i="1"/>
  <c r="K70" i="1" s="1"/>
  <c r="J71" i="1"/>
  <c r="K71" i="1" s="1"/>
  <c r="J72" i="1"/>
  <c r="K72" i="1" s="1"/>
  <c r="J73" i="1"/>
  <c r="K73" i="1" s="1"/>
  <c r="J74" i="1"/>
  <c r="K74" i="1" s="1"/>
  <c r="J75" i="1"/>
  <c r="K75" i="1" s="1"/>
  <c r="J76" i="1"/>
  <c r="K76" i="1" s="1"/>
  <c r="J77" i="1"/>
  <c r="K77" i="1" s="1"/>
  <c r="J78" i="1"/>
  <c r="K78" i="1" s="1"/>
  <c r="J79" i="1"/>
  <c r="K79" i="1" s="1"/>
  <c r="J80" i="1"/>
  <c r="K80" i="1" s="1"/>
  <c r="J81" i="1"/>
  <c r="K81" i="1" s="1"/>
  <c r="J82" i="1"/>
  <c r="K82" i="1" s="1"/>
  <c r="J83" i="1"/>
  <c r="K83" i="1" s="1"/>
  <c r="J84" i="1"/>
  <c r="K84" i="1" s="1"/>
  <c r="J85" i="1"/>
  <c r="K85" i="1" s="1"/>
  <c r="J86" i="1"/>
  <c r="K86" i="1" s="1"/>
  <c r="J87" i="1"/>
  <c r="K87" i="1" s="1"/>
  <c r="J88" i="1"/>
  <c r="K88" i="1" s="1"/>
  <c r="J89" i="1"/>
  <c r="K89" i="1" s="1"/>
  <c r="J90" i="1"/>
  <c r="K90" i="1" s="1"/>
  <c r="J44" i="1"/>
  <c r="K44" i="1" s="1"/>
  <c r="K47" i="1" l="1"/>
  <c r="K91" i="1" s="1"/>
  <c r="K93" i="1" s="1"/>
  <c r="O90" i="1" l="1"/>
  <c r="O89" i="1"/>
  <c r="O88" i="1"/>
  <c r="O87" i="1"/>
  <c r="O86" i="1"/>
  <c r="O84" i="1"/>
  <c r="O83" i="1"/>
  <c r="O82" i="1"/>
  <c r="O81" i="1"/>
  <c r="O80" i="1"/>
  <c r="O78" i="1"/>
  <c r="O77" i="1"/>
  <c r="O76" i="1"/>
  <c r="O75" i="1"/>
  <c r="O74" i="1"/>
  <c r="O72" i="1"/>
  <c r="O71" i="1"/>
  <c r="O70" i="1"/>
  <c r="O69" i="1"/>
  <c r="O68" i="1"/>
  <c r="O66" i="1"/>
  <c r="O65" i="1"/>
  <c r="O64" i="1"/>
  <c r="O63" i="1"/>
  <c r="O62" i="1"/>
  <c r="O60" i="1"/>
  <c r="O59" i="1"/>
  <c r="O58" i="1"/>
  <c r="O57" i="1"/>
  <c r="O56" i="1"/>
  <c r="O54" i="1"/>
  <c r="O53" i="1"/>
  <c r="O52" i="1"/>
  <c r="O51" i="1"/>
  <c r="O50" i="1"/>
  <c r="O48" i="1"/>
  <c r="O47" i="1"/>
  <c r="O46" i="1"/>
  <c r="O45" i="1"/>
  <c r="O44" i="1"/>
  <c r="D43" i="22" l="1"/>
  <c r="B2" i="40" l="1"/>
  <c r="C38" i="53" l="1"/>
  <c r="I5" i="5" l="1"/>
  <c r="I3" i="5"/>
  <c r="F82" i="5"/>
  <c r="H82" i="5"/>
  <c r="F19" i="5" s="1"/>
  <c r="K84" i="5"/>
  <c r="K83" i="5"/>
  <c r="D90" i="5"/>
  <c r="D53" i="5" s="1"/>
  <c r="K89" i="5"/>
  <c r="K88" i="5"/>
  <c r="K87" i="5"/>
  <c r="K86" i="5"/>
  <c r="K85" i="5"/>
  <c r="K80" i="5"/>
  <c r="K81" i="5"/>
  <c r="F90" i="5"/>
  <c r="E53" i="5" s="1"/>
  <c r="H90" i="5"/>
  <c r="D82" i="5"/>
  <c r="D19" i="5" s="1"/>
  <c r="K90" i="5" l="1"/>
  <c r="K82" i="5"/>
  <c r="E19" i="5"/>
  <c r="F53" i="5"/>
  <c r="G43" i="21" l="1"/>
  <c r="G46" i="21" s="1"/>
  <c r="C40" i="53" l="1"/>
  <c r="C3" i="53" l="1"/>
  <c r="B3" i="53"/>
  <c r="G3" i="5"/>
  <c r="A1" i="5"/>
  <c r="B1" i="5"/>
  <c r="B1" i="22" l="1"/>
  <c r="B1" i="21"/>
  <c r="B44" i="1"/>
  <c r="B45" i="1"/>
  <c r="A3" i="1"/>
  <c r="A2" i="1"/>
  <c r="B2" i="1"/>
  <c r="D42" i="1" s="1"/>
  <c r="A46" i="22"/>
  <c r="AJ46" i="22" s="1"/>
  <c r="A45" i="22" l="1"/>
  <c r="AJ45" i="22" s="1"/>
  <c r="D61" i="5" l="1"/>
  <c r="C62" i="5"/>
  <c r="C64" i="5"/>
  <c r="C63" i="5"/>
  <c r="G132" i="53" l="1"/>
  <c r="F132" i="53"/>
  <c r="H132" i="53" l="1"/>
  <c r="B35" i="1"/>
  <c r="B33" i="1"/>
  <c r="D51" i="40" l="1"/>
  <c r="B51" i="40"/>
  <c r="E38" i="40"/>
  <c r="D49" i="45" l="1"/>
  <c r="D23" i="40" l="1"/>
  <c r="D24" i="40"/>
  <c r="H10" i="5" l="1"/>
  <c r="I10" i="5"/>
  <c r="I38" i="5" l="1"/>
  <c r="H38" i="5"/>
  <c r="G38" i="5"/>
  <c r="A2" i="5"/>
  <c r="G10" i="5"/>
  <c r="E27" i="2" l="1"/>
  <c r="F25" i="2"/>
  <c r="F7" i="2"/>
  <c r="E19" i="53" l="1"/>
  <c r="C69" i="1"/>
  <c r="G19" i="53" l="1"/>
  <c r="D19" i="53" s="1"/>
  <c r="B40" i="53"/>
  <c r="E26" i="2" l="1"/>
  <c r="E28" i="2"/>
  <c r="E29" i="2"/>
  <c r="G23" i="21" l="1"/>
  <c r="H23" i="21" s="1"/>
  <c r="D12" i="5"/>
  <c r="A7" i="2"/>
  <c r="C7" i="2"/>
  <c r="D59" i="5" l="1"/>
  <c r="I17" i="1"/>
  <c r="I16" i="1"/>
  <c r="D15" i="40" s="1"/>
  <c r="I15" i="1"/>
  <c r="D14" i="40" s="1"/>
  <c r="I14" i="1"/>
  <c r="D13" i="40" s="1"/>
  <c r="H16" i="1"/>
  <c r="B15" i="40" s="1"/>
  <c r="H15" i="1"/>
  <c r="B14" i="40" s="1"/>
  <c r="H14" i="1"/>
  <c r="B13" i="40" s="1"/>
  <c r="C13" i="1"/>
  <c r="C12" i="1"/>
  <c r="C11" i="1"/>
  <c r="C10" i="1"/>
  <c r="C9" i="1"/>
  <c r="D34" i="45" l="1"/>
  <c r="E7" i="2" s="1"/>
  <c r="E25" i="2"/>
  <c r="C25" i="2"/>
  <c r="C40" i="22" s="1"/>
  <c r="X53" i="41" l="1"/>
  <c r="C54" i="5" l="1"/>
  <c r="E61" i="5" l="1"/>
  <c r="F61" i="5"/>
  <c r="C61" i="5" l="1"/>
  <c r="E14" i="53"/>
  <c r="G14" i="53"/>
  <c r="I245" i="53"/>
  <c r="I240" i="53"/>
  <c r="I238" i="53"/>
  <c r="I288" i="53" s="1"/>
  <c r="I237" i="53"/>
  <c r="I287" i="53" s="1"/>
  <c r="I236" i="53"/>
  <c r="I286" i="53" s="1"/>
  <c r="I235" i="53"/>
  <c r="I285" i="53" s="1"/>
  <c r="I234" i="53"/>
  <c r="I284" i="53" s="1"/>
  <c r="I188" i="53"/>
  <c r="I187" i="53"/>
  <c r="I186" i="53"/>
  <c r="H131" i="53"/>
  <c r="E131" i="53"/>
  <c r="H130" i="53"/>
  <c r="E130" i="53"/>
  <c r="H129" i="53"/>
  <c r="E129" i="53"/>
  <c r="H128" i="53"/>
  <c r="E128" i="53"/>
  <c r="H127" i="53"/>
  <c r="E127" i="53"/>
  <c r="H126" i="53"/>
  <c r="E126" i="53"/>
  <c r="H125" i="53"/>
  <c r="E125" i="53"/>
  <c r="H124" i="53"/>
  <c r="E124" i="53"/>
  <c r="H123" i="53"/>
  <c r="E123" i="53"/>
  <c r="H122" i="53"/>
  <c r="E122" i="53"/>
  <c r="H121" i="53"/>
  <c r="E121" i="53"/>
  <c r="H120" i="53"/>
  <c r="E120" i="53"/>
  <c r="H119" i="53"/>
  <c r="E119" i="53"/>
  <c r="H118" i="53"/>
  <c r="E118" i="53"/>
  <c r="H117" i="53"/>
  <c r="E117" i="53"/>
  <c r="H116" i="53"/>
  <c r="E116" i="53"/>
  <c r="H115" i="53"/>
  <c r="E115" i="53"/>
  <c r="H114" i="53"/>
  <c r="E114" i="53"/>
  <c r="H113" i="53"/>
  <c r="E113" i="53"/>
  <c r="H112" i="53"/>
  <c r="E112" i="53"/>
  <c r="H111" i="53"/>
  <c r="E111" i="53"/>
  <c r="H110" i="53"/>
  <c r="E110" i="53"/>
  <c r="H109" i="53"/>
  <c r="E109" i="53"/>
  <c r="H108" i="53"/>
  <c r="E108" i="53"/>
  <c r="H107" i="53"/>
  <c r="E107" i="53"/>
  <c r="H106" i="53"/>
  <c r="E106" i="53"/>
  <c r="H105" i="53"/>
  <c r="E105" i="53"/>
  <c r="H104" i="53"/>
  <c r="E104" i="53"/>
  <c r="D96" i="53"/>
  <c r="I48" i="53" l="1"/>
  <c r="C48" i="53"/>
  <c r="F48" i="53"/>
  <c r="A48" i="53"/>
  <c r="C47" i="53"/>
  <c r="I47" i="53"/>
  <c r="F47" i="53"/>
  <c r="A47" i="53"/>
  <c r="G15" i="53"/>
  <c r="G20" i="53"/>
  <c r="J5" i="5" s="1"/>
  <c r="E15" i="53"/>
  <c r="E20" i="53"/>
  <c r="J3" i="5" s="1"/>
  <c r="I125" i="53"/>
  <c r="I131" i="53"/>
  <c r="I118" i="53"/>
  <c r="I126" i="53"/>
  <c r="I110" i="53"/>
  <c r="I113" i="53"/>
  <c r="I115" i="53"/>
  <c r="I121" i="53"/>
  <c r="I129" i="53"/>
  <c r="I127" i="53"/>
  <c r="I107" i="53"/>
  <c r="I123" i="53"/>
  <c r="I111" i="53"/>
  <c r="I119" i="53"/>
  <c r="I109" i="53"/>
  <c r="I117" i="53"/>
  <c r="I105" i="53"/>
  <c r="I112" i="53"/>
  <c r="I120" i="53"/>
  <c r="I128" i="53"/>
  <c r="I106" i="53"/>
  <c r="I114" i="53"/>
  <c r="I122" i="53"/>
  <c r="I130" i="53"/>
  <c r="I108" i="53"/>
  <c r="I116" i="53"/>
  <c r="I124" i="53"/>
  <c r="I104" i="53"/>
  <c r="E132" i="53"/>
  <c r="J3" i="2" l="1"/>
  <c r="J5" i="2"/>
  <c r="I132" i="53"/>
  <c r="I144" i="53" s="1"/>
  <c r="I191" i="53" s="1"/>
  <c r="I243" i="53"/>
  <c r="I290" i="53" l="1"/>
  <c r="G56" i="21" l="1"/>
  <c r="G13" i="21"/>
  <c r="B52" i="41" l="1"/>
  <c r="B51" i="41"/>
  <c r="B50" i="41"/>
  <c r="B49" i="41"/>
  <c r="B48" i="41"/>
  <c r="B46" i="41"/>
  <c r="B45" i="41"/>
  <c r="B44" i="41"/>
  <c r="B43" i="41"/>
  <c r="B42" i="41"/>
  <c r="B40" i="41"/>
  <c r="B39" i="41"/>
  <c r="B38" i="41"/>
  <c r="B37" i="41"/>
  <c r="B36" i="41"/>
  <c r="B34" i="41"/>
  <c r="B33" i="41"/>
  <c r="B32" i="41"/>
  <c r="B31" i="41"/>
  <c r="B30" i="41"/>
  <c r="B28" i="41"/>
  <c r="B27" i="41"/>
  <c r="B26" i="41"/>
  <c r="B25" i="41"/>
  <c r="B24" i="41"/>
  <c r="B22" i="41"/>
  <c r="B21" i="41"/>
  <c r="B20" i="41"/>
  <c r="B19" i="41"/>
  <c r="B18" i="41"/>
  <c r="B16" i="41"/>
  <c r="B15" i="41"/>
  <c r="B14" i="41"/>
  <c r="B13" i="41"/>
  <c r="B12" i="41"/>
  <c r="B10" i="41"/>
  <c r="B9" i="41"/>
  <c r="B8" i="41"/>
  <c r="B7" i="41"/>
  <c r="B6" i="41"/>
  <c r="G52" i="41" l="1"/>
  <c r="G46" i="41"/>
  <c r="G40" i="41"/>
  <c r="G34" i="41"/>
  <c r="G28" i="41"/>
  <c r="G48" i="41"/>
  <c r="G42" i="41"/>
  <c r="G36" i="41"/>
  <c r="G30" i="41"/>
  <c r="G24" i="41"/>
  <c r="G51" i="41"/>
  <c r="G50" i="41"/>
  <c r="G49" i="41"/>
  <c r="G45" i="41"/>
  <c r="G44" i="41"/>
  <c r="G43" i="41"/>
  <c r="G39" i="41"/>
  <c r="G38" i="41"/>
  <c r="G37" i="41"/>
  <c r="G33" i="41"/>
  <c r="G32" i="41"/>
  <c r="G31" i="41"/>
  <c r="G27" i="41"/>
  <c r="G26" i="41"/>
  <c r="G25" i="41"/>
  <c r="G21" i="41"/>
  <c r="G20" i="41"/>
  <c r="G19" i="41"/>
  <c r="G22" i="41"/>
  <c r="G18" i="41"/>
  <c r="G16" i="41"/>
  <c r="G15" i="41"/>
  <c r="G14" i="41"/>
  <c r="G13" i="41"/>
  <c r="G12" i="41"/>
  <c r="G10" i="41"/>
  <c r="G9" i="41"/>
  <c r="G8" i="41"/>
  <c r="G7" i="41"/>
  <c r="G6" i="41"/>
  <c r="F52" i="41"/>
  <c r="F51" i="41"/>
  <c r="F50" i="41"/>
  <c r="F49" i="41"/>
  <c r="F48" i="41"/>
  <c r="F46" i="41"/>
  <c r="F45" i="41"/>
  <c r="F44" i="41"/>
  <c r="F43" i="41"/>
  <c r="F42" i="41"/>
  <c r="F40" i="41"/>
  <c r="F39" i="41"/>
  <c r="F38" i="41"/>
  <c r="F37" i="41"/>
  <c r="F36" i="41"/>
  <c r="F34" i="41"/>
  <c r="F33" i="41"/>
  <c r="F32" i="41"/>
  <c r="F31" i="41"/>
  <c r="F30" i="41"/>
  <c r="F28" i="41"/>
  <c r="F27" i="41"/>
  <c r="F26" i="41"/>
  <c r="F25" i="41"/>
  <c r="F24" i="41"/>
  <c r="F22" i="41"/>
  <c r="F21" i="41"/>
  <c r="F20" i="41"/>
  <c r="F19" i="41"/>
  <c r="F18" i="41"/>
  <c r="F16" i="41"/>
  <c r="F15" i="41"/>
  <c r="F14" i="41"/>
  <c r="F13" i="41"/>
  <c r="F12" i="41"/>
  <c r="F10" i="41"/>
  <c r="F9" i="41"/>
  <c r="F8" i="41"/>
  <c r="F7" i="41"/>
  <c r="F6" i="41"/>
  <c r="A15" i="22" l="1"/>
  <c r="A7" i="22"/>
  <c r="D50" i="40" l="1"/>
  <c r="D49" i="40"/>
  <c r="D48" i="40"/>
  <c r="D47" i="40"/>
  <c r="B50" i="40"/>
  <c r="B49" i="40"/>
  <c r="B48" i="40"/>
  <c r="B47" i="40"/>
  <c r="E27" i="40"/>
  <c r="D33" i="40" l="1"/>
  <c r="D46" i="22"/>
  <c r="D45" i="22"/>
  <c r="D44" i="22"/>
  <c r="J95" i="1" l="1"/>
  <c r="J94" i="1"/>
  <c r="C90" i="1"/>
  <c r="B90" i="1"/>
  <c r="C89" i="1"/>
  <c r="B89" i="1"/>
  <c r="C88" i="1"/>
  <c r="B88" i="1"/>
  <c r="C87" i="1"/>
  <c r="B87" i="1"/>
  <c r="B86" i="1"/>
  <c r="C84" i="1"/>
  <c r="B84" i="1"/>
  <c r="C83" i="1"/>
  <c r="B83" i="1"/>
  <c r="C82" i="1"/>
  <c r="B82" i="1"/>
  <c r="C81" i="1"/>
  <c r="B81" i="1"/>
  <c r="B80" i="1"/>
  <c r="C78" i="1"/>
  <c r="B78" i="1"/>
  <c r="C77" i="1"/>
  <c r="B77" i="1"/>
  <c r="C76" i="1"/>
  <c r="B76" i="1"/>
  <c r="C75" i="1"/>
  <c r="B75" i="1"/>
  <c r="B74" i="1"/>
  <c r="C72" i="1"/>
  <c r="B72" i="1"/>
  <c r="C71" i="1"/>
  <c r="B71" i="1"/>
  <c r="C70" i="1"/>
  <c r="B70" i="1"/>
  <c r="B69" i="1"/>
  <c r="B68" i="1"/>
  <c r="C66" i="1"/>
  <c r="B66" i="1"/>
  <c r="C65" i="1"/>
  <c r="B65" i="1"/>
  <c r="C64" i="1"/>
  <c r="B64" i="1"/>
  <c r="C63" i="1"/>
  <c r="B63" i="1"/>
  <c r="B62" i="1"/>
  <c r="C60" i="1"/>
  <c r="B60" i="1"/>
  <c r="C59" i="1"/>
  <c r="B59" i="1"/>
  <c r="C58" i="1"/>
  <c r="B58" i="1"/>
  <c r="C57" i="1"/>
  <c r="B57" i="1"/>
  <c r="B56" i="1"/>
  <c r="C54" i="1"/>
  <c r="B54" i="1"/>
  <c r="C53" i="1"/>
  <c r="B53" i="1"/>
  <c r="C52" i="1"/>
  <c r="B52" i="1"/>
  <c r="C51" i="1"/>
  <c r="B51" i="1"/>
  <c r="B50" i="1"/>
  <c r="C48" i="1"/>
  <c r="B48" i="1"/>
  <c r="C47" i="1"/>
  <c r="B47" i="1"/>
  <c r="C46" i="1"/>
  <c r="B46" i="1"/>
  <c r="C45" i="1"/>
  <c r="E35" i="1"/>
  <c r="E9" i="45" s="1"/>
  <c r="E33" i="1"/>
  <c r="E30" i="1"/>
  <c r="C23" i="1"/>
  <c r="F22" i="1"/>
  <c r="F21" i="1"/>
  <c r="E15" i="1"/>
  <c r="H17" i="1"/>
  <c r="E12" i="1"/>
  <c r="I13" i="1"/>
  <c r="D12" i="40" s="1"/>
  <c r="H13" i="1"/>
  <c r="B12" i="40" s="1"/>
  <c r="I12" i="1"/>
  <c r="H12" i="1"/>
  <c r="I11" i="1"/>
  <c r="H11" i="1"/>
  <c r="I10" i="1"/>
  <c r="H10" i="1"/>
  <c r="X67" i="41"/>
  <c r="X66" i="41"/>
  <c r="X65" i="41"/>
  <c r="X64" i="41"/>
  <c r="X63" i="41"/>
  <c r="X62" i="41"/>
  <c r="X61" i="41"/>
  <c r="X60" i="41"/>
  <c r="X59" i="41"/>
  <c r="X58" i="41"/>
  <c r="X57" i="41"/>
  <c r="X56" i="41"/>
  <c r="X55" i="41"/>
  <c r="X54" i="41"/>
  <c r="X52" i="41"/>
  <c r="E52" i="41"/>
  <c r="D52" i="41"/>
  <c r="C52" i="41"/>
  <c r="X51" i="41"/>
  <c r="E51" i="41"/>
  <c r="D51" i="41"/>
  <c r="C51" i="41"/>
  <c r="X50" i="41"/>
  <c r="E50" i="41"/>
  <c r="D50" i="41"/>
  <c r="C50" i="41"/>
  <c r="X49" i="41"/>
  <c r="E49" i="41"/>
  <c r="D49" i="41"/>
  <c r="C49" i="41"/>
  <c r="X48" i="41"/>
  <c r="E48" i="41"/>
  <c r="D48" i="41"/>
  <c r="C48" i="41"/>
  <c r="X47" i="41"/>
  <c r="X46" i="41"/>
  <c r="E46" i="41"/>
  <c r="D46" i="41"/>
  <c r="C46" i="41"/>
  <c r="X45" i="41"/>
  <c r="E45" i="41"/>
  <c r="D45" i="41"/>
  <c r="C45" i="41"/>
  <c r="X44" i="41"/>
  <c r="E44" i="41"/>
  <c r="D44" i="41"/>
  <c r="C44" i="41"/>
  <c r="X43" i="41"/>
  <c r="E43" i="41"/>
  <c r="D43" i="41"/>
  <c r="C43" i="41"/>
  <c r="X42" i="41"/>
  <c r="E42" i="41"/>
  <c r="D42" i="41"/>
  <c r="C42" i="41"/>
  <c r="X41" i="41"/>
  <c r="X40" i="41"/>
  <c r="E40" i="41"/>
  <c r="X39" i="41"/>
  <c r="E39" i="41"/>
  <c r="X38" i="41"/>
  <c r="E38" i="41"/>
  <c r="X37" i="41"/>
  <c r="E37" i="41"/>
  <c r="X36" i="41"/>
  <c r="E36" i="41"/>
  <c r="X35" i="41"/>
  <c r="X34" i="41"/>
  <c r="B85" i="41"/>
  <c r="B84" i="41" s="1"/>
  <c r="B83" i="41" s="1"/>
  <c r="B82" i="41" s="1"/>
  <c r="B81" i="41" s="1"/>
  <c r="B80" i="41" s="1"/>
  <c r="B79" i="41" s="1"/>
  <c r="N5" i="41" s="1"/>
  <c r="E34" i="41"/>
  <c r="D34" i="41"/>
  <c r="C34" i="41"/>
  <c r="X33" i="41"/>
  <c r="E33" i="41"/>
  <c r="D33" i="41"/>
  <c r="X32" i="41"/>
  <c r="E32" i="41"/>
  <c r="X31" i="41"/>
  <c r="E31" i="41"/>
  <c r="X30" i="41"/>
  <c r="E30" i="41"/>
  <c r="X29" i="41"/>
  <c r="C80" i="41"/>
  <c r="C81" i="41" s="1"/>
  <c r="C82" i="41" s="1"/>
  <c r="C83" i="41" s="1"/>
  <c r="C84" i="41" s="1"/>
  <c r="C85" i="41" s="1"/>
  <c r="C86" i="41" s="1"/>
  <c r="X28" i="41"/>
  <c r="E28" i="41"/>
  <c r="X27" i="41"/>
  <c r="E27" i="41"/>
  <c r="D27" i="41"/>
  <c r="X26" i="41"/>
  <c r="E26" i="41"/>
  <c r="D26" i="41"/>
  <c r="C26" i="41"/>
  <c r="X25" i="41"/>
  <c r="E25" i="41"/>
  <c r="D25" i="41"/>
  <c r="C25" i="41"/>
  <c r="X24" i="41"/>
  <c r="D75" i="41"/>
  <c r="E24" i="41"/>
  <c r="D24" i="41"/>
  <c r="C24" i="41"/>
  <c r="X23" i="41"/>
  <c r="X22" i="41"/>
  <c r="E22" i="41"/>
  <c r="X21" i="41"/>
  <c r="E21" i="41"/>
  <c r="D21" i="41"/>
  <c r="X20" i="41"/>
  <c r="E20" i="41"/>
  <c r="D20" i="41"/>
  <c r="C20" i="41"/>
  <c r="X19" i="41"/>
  <c r="D70" i="41"/>
  <c r="E19" i="41"/>
  <c r="D19" i="41"/>
  <c r="C19" i="41"/>
  <c r="X18" i="41"/>
  <c r="E18" i="41"/>
  <c r="D18" i="41"/>
  <c r="X17" i="41"/>
  <c r="X16" i="41"/>
  <c r="E16" i="41"/>
  <c r="X15" i="41"/>
  <c r="E15" i="41"/>
  <c r="C15" i="41"/>
  <c r="D15" i="41"/>
  <c r="X14" i="41"/>
  <c r="E14" i="41"/>
  <c r="D14" i="41"/>
  <c r="C14" i="41"/>
  <c r="X13" i="41"/>
  <c r="E13" i="41"/>
  <c r="D13" i="41"/>
  <c r="C13" i="41"/>
  <c r="X12" i="41"/>
  <c r="E12" i="41"/>
  <c r="D12" i="41"/>
  <c r="C12" i="41"/>
  <c r="X11" i="41"/>
  <c r="X10" i="41"/>
  <c r="E10" i="41"/>
  <c r="X9" i="41"/>
  <c r="E9" i="41"/>
  <c r="D9" i="41"/>
  <c r="C9" i="41"/>
  <c r="X8" i="41"/>
  <c r="M8" i="41"/>
  <c r="E8" i="41"/>
  <c r="X7" i="41"/>
  <c r="E7" i="41"/>
  <c r="X6" i="41"/>
  <c r="O6" i="41"/>
  <c r="E6" i="41"/>
  <c r="X69" i="41" l="1"/>
  <c r="N48" i="1"/>
  <c r="N54" i="1"/>
  <c r="N62" i="1"/>
  <c r="N63" i="1"/>
  <c r="N50" i="1"/>
  <c r="N56" i="1"/>
  <c r="N77" i="1"/>
  <c r="N44" i="1"/>
  <c r="A20" i="1"/>
  <c r="A21" i="1"/>
  <c r="A22" i="1"/>
  <c r="N75" i="1"/>
  <c r="N76" i="1"/>
  <c r="N70" i="1"/>
  <c r="N71" i="1"/>
  <c r="N57" i="1"/>
  <c r="N69" i="1"/>
  <c r="N47" i="1"/>
  <c r="N51" i="1"/>
  <c r="N45" i="1"/>
  <c r="N46" i="1"/>
  <c r="N53" i="1"/>
  <c r="N65" i="1"/>
  <c r="N58" i="1"/>
  <c r="N59" i="1"/>
  <c r="N52" i="1"/>
  <c r="N64" i="1"/>
  <c r="D7" i="40"/>
  <c r="H21" i="1"/>
  <c r="E7" i="22"/>
  <c r="E10" i="1"/>
  <c r="C14" i="1"/>
  <c r="F16" i="1"/>
  <c r="E11" i="1"/>
  <c r="E13" i="1"/>
  <c r="E9" i="1"/>
  <c r="I18" i="1"/>
  <c r="C7" i="41"/>
  <c r="D7" i="41"/>
  <c r="C8" i="41"/>
  <c r="D8" i="41"/>
  <c r="C16" i="41"/>
  <c r="D16" i="41"/>
  <c r="D22" i="41"/>
  <c r="C22" i="41"/>
  <c r="D10" i="41"/>
  <c r="C10" i="41"/>
  <c r="C6" i="41"/>
  <c r="D6" i="41"/>
  <c r="P6" i="41"/>
  <c r="O5" i="41"/>
  <c r="M9" i="41"/>
  <c r="D38" i="41"/>
  <c r="C38" i="41"/>
  <c r="C27" i="41"/>
  <c r="D28" i="41"/>
  <c r="C28" i="41"/>
  <c r="D32" i="41"/>
  <c r="C32" i="41"/>
  <c r="C33" i="41"/>
  <c r="D39" i="41"/>
  <c r="C39" i="41"/>
  <c r="C18" i="41"/>
  <c r="C21" i="41"/>
  <c r="D31" i="41"/>
  <c r="C31" i="41"/>
  <c r="D36" i="41"/>
  <c r="C36" i="41"/>
  <c r="D40" i="41"/>
  <c r="C40" i="41"/>
  <c r="G53" i="41"/>
  <c r="D30" i="41"/>
  <c r="C30" i="41"/>
  <c r="D37" i="41"/>
  <c r="C37" i="41"/>
  <c r="C16" i="1" l="1"/>
  <c r="E1" i="21" s="1"/>
  <c r="C41" i="21" s="1"/>
  <c r="B3" i="5"/>
  <c r="B5" i="2"/>
  <c r="N91" i="1"/>
  <c r="D6" i="40"/>
  <c r="E7" i="40" s="1"/>
  <c r="E14" i="1"/>
  <c r="E16" i="1" s="1"/>
  <c r="E2" i="21" s="1"/>
  <c r="D41" i="21" s="1"/>
  <c r="J14" i="1"/>
  <c r="E13" i="40" s="1"/>
  <c r="J15" i="1"/>
  <c r="E14" i="40" s="1"/>
  <c r="E6" i="45"/>
  <c r="J17" i="1"/>
  <c r="E16" i="40" s="1"/>
  <c r="J13" i="1"/>
  <c r="E12" i="40" s="1"/>
  <c r="J16" i="1"/>
  <c r="E15" i="40" s="1"/>
  <c r="J10" i="1"/>
  <c r="J11" i="1"/>
  <c r="E10" i="40" s="1"/>
  <c r="E23" i="1"/>
  <c r="F20" i="1"/>
  <c r="J12" i="1"/>
  <c r="Q6" i="41"/>
  <c r="P5" i="41"/>
  <c r="M10" i="41"/>
  <c r="F2" i="1" l="1"/>
  <c r="B9" i="1"/>
  <c r="B12" i="1"/>
  <c r="B11" i="1"/>
  <c r="B38" i="1"/>
  <c r="E38" i="1" s="1"/>
  <c r="E40" i="1" s="1"/>
  <c r="K96" i="1" s="1"/>
  <c r="B13" i="1"/>
  <c r="B10" i="1"/>
  <c r="F10" i="53"/>
  <c r="E9" i="40"/>
  <c r="J18" i="1"/>
  <c r="G1" i="22"/>
  <c r="M11" i="41"/>
  <c r="R6" i="41"/>
  <c r="Q5" i="41"/>
  <c r="E41" i="1" l="1"/>
  <c r="E30" i="40" s="1"/>
  <c r="S6" i="41"/>
  <c r="R5" i="41"/>
  <c r="M12" i="41"/>
  <c r="D26" i="40" l="1"/>
  <c r="T6" i="41"/>
  <c r="S5" i="41"/>
  <c r="M13" i="41"/>
  <c r="M14" i="41" l="1"/>
  <c r="U6" i="41"/>
  <c r="U5" i="41" s="1"/>
  <c r="T5" i="41"/>
  <c r="M15" i="41" l="1"/>
  <c r="M16" i="41" l="1"/>
  <c r="M17" i="41" l="1"/>
  <c r="M18" i="41" l="1"/>
  <c r="M19" i="41" l="1"/>
  <c r="M20" i="41" l="1"/>
  <c r="M21" i="41" l="1"/>
  <c r="M22" i="41" l="1"/>
  <c r="M23" i="41" l="1"/>
  <c r="M24" i="41" l="1"/>
  <c r="M25" i="41" l="1"/>
  <c r="M26" i="41" l="1"/>
  <c r="M27" i="41" l="1"/>
  <c r="M28" i="41" l="1"/>
  <c r="M29" i="41" l="1"/>
  <c r="M30" i="41" l="1"/>
  <c r="M31" i="41" l="1"/>
  <c r="D37" i="45" l="1"/>
  <c r="D38" i="45" s="1"/>
  <c r="G32" i="21" l="1"/>
  <c r="E34" i="22"/>
  <c r="G50" i="21" l="1"/>
  <c r="E35" i="22"/>
  <c r="F35" i="22" s="1"/>
  <c r="G35" i="22" s="1"/>
  <c r="H35" i="22" s="1"/>
  <c r="I35" i="22" s="1"/>
  <c r="J35" i="22" s="1"/>
  <c r="K35" i="22" s="1"/>
  <c r="L35" i="22" s="1"/>
  <c r="M35" i="22" s="1"/>
  <c r="N35" i="22" s="1"/>
  <c r="O35" i="22" s="1"/>
  <c r="P35" i="22" s="1"/>
  <c r="Q35" i="22" s="1"/>
  <c r="R35" i="22" s="1"/>
  <c r="S35" i="22" s="1"/>
  <c r="U35" i="22" s="1"/>
  <c r="V35" i="22" s="1"/>
  <c r="W35" i="22" s="1"/>
  <c r="X35" i="22" s="1"/>
  <c r="Y35" i="22" s="1"/>
  <c r="Z35" i="22" s="1"/>
  <c r="AA35" i="22" s="1"/>
  <c r="AB35" i="22" s="1"/>
  <c r="AC35" i="22" s="1"/>
  <c r="AD35" i="22" s="1"/>
  <c r="AE35" i="22" s="1"/>
  <c r="AF35" i="22" s="1"/>
  <c r="AG35" i="22" s="1"/>
  <c r="AH35" i="22" s="1"/>
  <c r="AI35" i="22" s="1"/>
  <c r="D19" i="22" l="1"/>
  <c r="D18" i="22"/>
  <c r="E29" i="40" s="1"/>
  <c r="D17" i="22"/>
  <c r="E28" i="40" s="1"/>
  <c r="D16" i="22"/>
  <c r="D15" i="22"/>
  <c r="L69" i="5" l="1"/>
  <c r="K69" i="5"/>
  <c r="K65" i="5"/>
  <c r="L65" i="5"/>
  <c r="L59" i="5"/>
  <c r="K59" i="5"/>
  <c r="L26" i="5"/>
  <c r="K26" i="5"/>
  <c r="K20" i="5"/>
  <c r="L12" i="5"/>
  <c r="L74" i="5" s="1"/>
  <c r="K12" i="5"/>
  <c r="K74" i="5" s="1"/>
  <c r="K33" i="5" l="1"/>
  <c r="I183" i="53"/>
  <c r="I190" i="53" s="1"/>
  <c r="I282" i="53"/>
  <c r="I289" i="53" s="1"/>
  <c r="E20" i="5"/>
  <c r="C75" i="5"/>
  <c r="C74" i="5"/>
  <c r="F26" i="5"/>
  <c r="E26" i="5"/>
  <c r="D26" i="5"/>
  <c r="C67" i="5"/>
  <c r="E69" i="5"/>
  <c r="F69" i="5"/>
  <c r="D65" i="5"/>
  <c r="C25" i="5"/>
  <c r="J25" i="5" s="1"/>
  <c r="C23" i="5"/>
  <c r="C24" i="5"/>
  <c r="C18" i="5"/>
  <c r="C17" i="5"/>
  <c r="C16" i="5"/>
  <c r="C15" i="5"/>
  <c r="C11" i="5"/>
  <c r="C10" i="5"/>
  <c r="J10" i="5" s="1"/>
  <c r="C58" i="5"/>
  <c r="C57" i="5"/>
  <c r="C56" i="5"/>
  <c r="C52" i="5"/>
  <c r="C50" i="5"/>
  <c r="C49" i="5"/>
  <c r="C47" i="5"/>
  <c r="C46" i="5"/>
  <c r="C44" i="5"/>
  <c r="C43" i="5"/>
  <c r="C41" i="5"/>
  <c r="C40" i="5"/>
  <c r="C39" i="5"/>
  <c r="C38" i="5"/>
  <c r="C36" i="5"/>
  <c r="C28" i="5"/>
  <c r="C31" i="5"/>
  <c r="C30" i="5"/>
  <c r="C29" i="5"/>
  <c r="C22" i="5"/>
  <c r="H32" i="5" l="1"/>
  <c r="H30" i="5"/>
  <c r="H29" i="5"/>
  <c r="H28" i="5"/>
  <c r="J38" i="5"/>
  <c r="I291" i="53"/>
  <c r="I293" i="53" s="1"/>
  <c r="I192" i="53"/>
  <c r="I194" i="53" s="1"/>
  <c r="C42" i="2"/>
  <c r="F20" i="5"/>
  <c r="G32" i="5" s="1"/>
  <c r="D20" i="5"/>
  <c r="L20" i="5"/>
  <c r="L33" i="5" s="1"/>
  <c r="C26" i="5"/>
  <c r="E33" i="5"/>
  <c r="I33" i="5" s="1"/>
  <c r="C19" i="5"/>
  <c r="F51" i="5"/>
  <c r="E33" i="45"/>
  <c r="E32" i="45"/>
  <c r="H31" i="5" l="1"/>
  <c r="I32" i="5"/>
  <c r="I30" i="5"/>
  <c r="I29" i="5"/>
  <c r="I28" i="5"/>
  <c r="G30" i="5"/>
  <c r="G29" i="5"/>
  <c r="G28" i="5"/>
  <c r="F59" i="5"/>
  <c r="D33" i="5"/>
  <c r="E34" i="45"/>
  <c r="C51" i="5"/>
  <c r="C53" i="5"/>
  <c r="F65" i="5"/>
  <c r="G54" i="5" l="1"/>
  <c r="G55" i="5"/>
  <c r="I31" i="5"/>
  <c r="G31" i="5"/>
  <c r="H33" i="5"/>
  <c r="G5" i="5"/>
  <c r="E65" i="5" l="1"/>
  <c r="F33" i="5"/>
  <c r="G33" i="5" s="1"/>
  <c r="C32" i="5"/>
  <c r="H54" i="5" l="1"/>
  <c r="H55" i="5"/>
  <c r="C20" i="5"/>
  <c r="J32" i="5" s="1"/>
  <c r="J29" i="5" l="1"/>
  <c r="J28" i="5"/>
  <c r="J30" i="5"/>
  <c r="C33" i="5"/>
  <c r="J33" i="5" s="1"/>
  <c r="J31" i="5" l="1"/>
  <c r="C45" i="5"/>
  <c r="C42" i="5"/>
  <c r="C37" i="5"/>
  <c r="C45" i="42" l="1"/>
  <c r="B48" i="42"/>
  <c r="C49" i="42"/>
  <c r="B60" i="42"/>
  <c r="N30" i="42"/>
  <c r="N29" i="42"/>
  <c r="N28" i="42"/>
  <c r="N27" i="42"/>
  <c r="N26" i="42"/>
  <c r="N10" i="42"/>
  <c r="N11" i="42"/>
  <c r="N12" i="42"/>
  <c r="N13" i="42"/>
  <c r="N9" i="42"/>
  <c r="M27" i="42"/>
  <c r="M28" i="42"/>
  <c r="M29" i="42"/>
  <c r="M30" i="42"/>
  <c r="M26" i="42"/>
  <c r="B56" i="42"/>
  <c r="B55" i="42"/>
  <c r="B54" i="42"/>
  <c r="B61" i="42"/>
  <c r="B39" i="42"/>
  <c r="B41" i="42"/>
  <c r="B40" i="42"/>
  <c r="M10" i="42"/>
  <c r="M11" i="42"/>
  <c r="M12" i="42"/>
  <c r="M13" i="42"/>
  <c r="M9" i="42"/>
  <c r="E69" i="42"/>
  <c r="E68" i="42"/>
  <c r="E67" i="42"/>
  <c r="E66" i="42"/>
  <c r="D69" i="42"/>
  <c r="D68" i="42"/>
  <c r="D67" i="42"/>
  <c r="D66" i="42"/>
  <c r="C69" i="42"/>
  <c r="C68" i="42"/>
  <c r="C67" i="42"/>
  <c r="C66" i="42"/>
  <c r="B69" i="42"/>
  <c r="N8" i="42" s="1"/>
  <c r="B68" i="42"/>
  <c r="N7" i="42" s="1"/>
  <c r="B67" i="42"/>
  <c r="N6" i="42" s="1"/>
  <c r="B66" i="42"/>
  <c r="N5" i="42" s="1"/>
  <c r="A69" i="42"/>
  <c r="M25" i="42" s="1"/>
  <c r="M8" i="42" s="1"/>
  <c r="A68" i="42"/>
  <c r="M24" i="42" s="1"/>
  <c r="M7" i="42" s="1"/>
  <c r="A67" i="42"/>
  <c r="M23" i="42" s="1"/>
  <c r="M6" i="42" s="1"/>
  <c r="A66" i="42"/>
  <c r="M22" i="42" s="1"/>
  <c r="M5" i="42" s="1"/>
  <c r="G56" i="42"/>
  <c r="G55" i="42"/>
  <c r="G54" i="42"/>
  <c r="G53" i="42"/>
  <c r="G52" i="42"/>
  <c r="B59" i="42"/>
  <c r="B46" i="42"/>
  <c r="B45" i="42"/>
  <c r="J49" i="42"/>
  <c r="I49" i="42"/>
  <c r="H49" i="42"/>
  <c r="G49" i="42"/>
  <c r="J48" i="42"/>
  <c r="I48" i="42"/>
  <c r="H48" i="42"/>
  <c r="G48" i="42"/>
  <c r="J47" i="42"/>
  <c r="I47" i="42"/>
  <c r="H47" i="42"/>
  <c r="G47" i="42"/>
  <c r="J46" i="42"/>
  <c r="I46" i="42"/>
  <c r="H46" i="42"/>
  <c r="G46" i="42"/>
  <c r="F45" i="42"/>
  <c r="G45" i="42"/>
  <c r="H45" i="42"/>
  <c r="I45" i="42"/>
  <c r="J45" i="42"/>
  <c r="J43" i="42"/>
  <c r="J42" i="42"/>
  <c r="J41" i="42"/>
  <c r="J40" i="42"/>
  <c r="J39" i="42"/>
  <c r="J37" i="42"/>
  <c r="J36" i="42"/>
  <c r="J35" i="42"/>
  <c r="J34" i="42"/>
  <c r="J33" i="42"/>
  <c r="J31" i="42"/>
  <c r="J30" i="42"/>
  <c r="J29" i="42"/>
  <c r="J28" i="42"/>
  <c r="J27" i="42"/>
  <c r="J25" i="42"/>
  <c r="J24" i="42"/>
  <c r="J23" i="42"/>
  <c r="J22" i="42"/>
  <c r="J21" i="42"/>
  <c r="J19" i="42"/>
  <c r="J18" i="42"/>
  <c r="J17" i="42"/>
  <c r="J16" i="42"/>
  <c r="J15" i="42"/>
  <c r="I43" i="42"/>
  <c r="I42" i="42"/>
  <c r="I41" i="42"/>
  <c r="I40" i="42"/>
  <c r="I39" i="42"/>
  <c r="I37" i="42"/>
  <c r="I36" i="42"/>
  <c r="I35" i="42"/>
  <c r="I34" i="42"/>
  <c r="I33" i="42"/>
  <c r="I31" i="42"/>
  <c r="I30" i="42"/>
  <c r="I29" i="42"/>
  <c r="I28" i="42"/>
  <c r="I27" i="42"/>
  <c r="I25" i="42"/>
  <c r="I24" i="42"/>
  <c r="I23" i="42"/>
  <c r="I22" i="42"/>
  <c r="I21" i="42"/>
  <c r="I16" i="42"/>
  <c r="I17" i="42"/>
  <c r="I18" i="42"/>
  <c r="I19" i="42"/>
  <c r="I15" i="42"/>
  <c r="H43" i="42"/>
  <c r="G43" i="42"/>
  <c r="H42" i="42"/>
  <c r="G42" i="42"/>
  <c r="H41" i="42"/>
  <c r="G41" i="42"/>
  <c r="H40" i="42"/>
  <c r="G40" i="42"/>
  <c r="H39" i="42"/>
  <c r="G39" i="42"/>
  <c r="F39" i="42"/>
  <c r="H37" i="42"/>
  <c r="G37" i="42"/>
  <c r="H36" i="42"/>
  <c r="G36" i="42"/>
  <c r="H35" i="42"/>
  <c r="G35" i="42"/>
  <c r="H34" i="42"/>
  <c r="G34" i="42"/>
  <c r="H33" i="42"/>
  <c r="G33" i="42"/>
  <c r="F33" i="42"/>
  <c r="H31" i="42"/>
  <c r="G31" i="42"/>
  <c r="H30" i="42"/>
  <c r="G30" i="42"/>
  <c r="H29" i="42"/>
  <c r="G29" i="42"/>
  <c r="H28" i="42"/>
  <c r="G28" i="42"/>
  <c r="H27" i="42"/>
  <c r="G27" i="42"/>
  <c r="F27" i="42"/>
  <c r="H25" i="42"/>
  <c r="G25" i="42"/>
  <c r="H24" i="42"/>
  <c r="G24" i="42"/>
  <c r="H23" i="42"/>
  <c r="G23" i="42"/>
  <c r="H22" i="42"/>
  <c r="G22" i="42"/>
  <c r="H21" i="42"/>
  <c r="G21" i="42"/>
  <c r="F21" i="42"/>
  <c r="H16" i="42"/>
  <c r="H17" i="42"/>
  <c r="H18" i="42"/>
  <c r="H19" i="42"/>
  <c r="G16" i="42"/>
  <c r="G17" i="42"/>
  <c r="G18" i="42"/>
  <c r="G19" i="42"/>
  <c r="G15" i="42"/>
  <c r="H15" i="42"/>
  <c r="H11" i="42"/>
  <c r="H6" i="42"/>
  <c r="H7" i="42"/>
  <c r="H8" i="42"/>
  <c r="H9" i="42"/>
  <c r="H5" i="42"/>
  <c r="N51" i="42" l="1"/>
  <c r="N32" i="42" s="1"/>
  <c r="N24" i="42"/>
  <c r="N25" i="42"/>
  <c r="N23" i="42"/>
  <c r="N22" i="42"/>
  <c r="R53" i="42"/>
  <c r="R52" i="42"/>
  <c r="R49" i="42"/>
  <c r="R48" i="42"/>
  <c r="N15" i="42" l="1"/>
  <c r="B10" i="42"/>
  <c r="B11" i="42"/>
  <c r="B12" i="42"/>
  <c r="B9" i="42"/>
  <c r="B4" i="42"/>
  <c r="B13" i="42" l="1"/>
  <c r="B35" i="42"/>
  <c r="R35" i="42" s="1"/>
  <c r="B34" i="42"/>
  <c r="R34" i="42" s="1"/>
  <c r="B38" i="42"/>
  <c r="B18" i="42"/>
  <c r="R11" i="42" s="1"/>
  <c r="B36" i="42" l="1"/>
  <c r="R62" i="42"/>
  <c r="T46" i="42"/>
  <c r="U46" i="42" s="1"/>
  <c r="V46" i="42" s="1"/>
  <c r="W46" i="42" s="1"/>
  <c r="X46" i="42" s="1"/>
  <c r="Y46" i="42" s="1"/>
  <c r="Z46" i="42" s="1"/>
  <c r="AA46" i="42" s="1"/>
  <c r="AB46" i="42" s="1"/>
  <c r="AC46" i="42" s="1"/>
  <c r="AD46" i="42" s="1"/>
  <c r="AE46" i="42" s="1"/>
  <c r="AF46" i="42" s="1"/>
  <c r="AG46" i="42" s="1"/>
  <c r="AH46" i="42" s="1"/>
  <c r="AI46" i="42" s="1"/>
  <c r="AJ46" i="42" s="1"/>
  <c r="AK46" i="42" s="1"/>
  <c r="AL46" i="42" s="1"/>
  <c r="AM46" i="42" s="1"/>
  <c r="AN46" i="42" s="1"/>
  <c r="AO46" i="42" s="1"/>
  <c r="AP46" i="42" s="1"/>
  <c r="AQ46" i="42" s="1"/>
  <c r="AR46" i="42" s="1"/>
  <c r="AS46" i="42" s="1"/>
  <c r="AT46" i="42" s="1"/>
  <c r="AU46" i="42" s="1"/>
  <c r="AV46" i="42" s="1"/>
  <c r="R36" i="42" l="1"/>
  <c r="R19" i="42"/>
  <c r="Q35" i="42"/>
  <c r="Q36" i="42"/>
  <c r="Q34" i="42"/>
  <c r="Q31" i="42"/>
  <c r="Q32" i="42"/>
  <c r="Q30" i="42"/>
  <c r="G11" i="42" l="1"/>
  <c r="F6" i="42"/>
  <c r="F7" i="42"/>
  <c r="F8" i="42"/>
  <c r="F9" i="42"/>
  <c r="F10" i="42"/>
  <c r="F11" i="42"/>
  <c r="F12" i="42"/>
  <c r="F5" i="42"/>
  <c r="F15" i="42"/>
  <c r="F12" i="5"/>
  <c r="E12" i="5"/>
  <c r="H12" i="5" s="1"/>
  <c r="S53" i="42"/>
  <c r="T53" i="42" s="1"/>
  <c r="U53" i="42" s="1"/>
  <c r="V53" i="42" s="1"/>
  <c r="W53" i="42" s="1"/>
  <c r="X53" i="42" s="1"/>
  <c r="Y53" i="42" s="1"/>
  <c r="Z53" i="42" s="1"/>
  <c r="AA53" i="42" s="1"/>
  <c r="AB53" i="42" s="1"/>
  <c r="AC53" i="42" s="1"/>
  <c r="AD53" i="42" s="1"/>
  <c r="AE53" i="42" s="1"/>
  <c r="AF53" i="42" s="1"/>
  <c r="AG53" i="42" s="1"/>
  <c r="AH53" i="42" s="1"/>
  <c r="AI53" i="42" s="1"/>
  <c r="AJ53" i="42" s="1"/>
  <c r="AK53" i="42" s="1"/>
  <c r="AL53" i="42" s="1"/>
  <c r="AM53" i="42" s="1"/>
  <c r="AN53" i="42" s="1"/>
  <c r="AO53" i="42" s="1"/>
  <c r="AP53" i="42" s="1"/>
  <c r="AQ53" i="42" s="1"/>
  <c r="AR53" i="42" s="1"/>
  <c r="AS53" i="42" s="1"/>
  <c r="AT53" i="42" s="1"/>
  <c r="AU53" i="42" s="1"/>
  <c r="AV53" i="42" s="1"/>
  <c r="G12" i="5" l="1"/>
  <c r="H20" i="42"/>
  <c r="M31" i="42"/>
  <c r="M32" i="42"/>
  <c r="M33" i="42"/>
  <c r="M34" i="42"/>
  <c r="M35" i="42"/>
  <c r="N4" i="42"/>
  <c r="M4" i="42"/>
  <c r="M17" i="42"/>
  <c r="M18" i="42"/>
  <c r="M3" i="42"/>
  <c r="V6" i="42" l="1"/>
  <c r="V7" i="42"/>
  <c r="V5" i="42"/>
  <c r="V8" i="42"/>
  <c r="R31" i="42"/>
  <c r="U7" i="42"/>
  <c r="U5" i="42"/>
  <c r="U8" i="42"/>
  <c r="U6" i="42"/>
  <c r="S11" i="42"/>
  <c r="R5" i="42" l="1"/>
  <c r="G9" i="42" l="1"/>
  <c r="G8" i="42"/>
  <c r="G7" i="42"/>
  <c r="G6" i="42"/>
  <c r="C12" i="5" l="1"/>
  <c r="G5" i="42"/>
  <c r="R6" i="42" l="1"/>
  <c r="B46" i="40" l="1"/>
  <c r="B45" i="40"/>
  <c r="E37" i="40" l="1"/>
  <c r="E36" i="40"/>
  <c r="D25" i="40" l="1"/>
  <c r="D22" i="40"/>
  <c r="B3" i="40"/>
  <c r="B1" i="40"/>
  <c r="C22" i="2" l="1"/>
  <c r="B24" i="42"/>
  <c r="R15" i="42" s="1"/>
  <c r="N38" i="42" s="1"/>
  <c r="O38" i="42" s="1"/>
  <c r="M15" i="42" l="1"/>
  <c r="B16" i="40" l="1"/>
  <c r="B11" i="40"/>
  <c r="B10" i="40"/>
  <c r="B9" i="40" l="1"/>
  <c r="D10" i="40" l="1"/>
  <c r="D11" i="40"/>
  <c r="D16" i="40"/>
  <c r="A2" i="22"/>
  <c r="A1" i="22"/>
  <c r="A2" i="21"/>
  <c r="A1" i="21"/>
  <c r="D18" i="40"/>
  <c r="E8" i="45"/>
  <c r="E16" i="45" s="1"/>
  <c r="E17" i="45"/>
  <c r="B16" i="42"/>
  <c r="B17" i="42"/>
  <c r="B62" i="42"/>
  <c r="E7" i="45"/>
  <c r="E15" i="45" s="1"/>
  <c r="A25" i="22"/>
  <c r="A18" i="22"/>
  <c r="A11" i="22"/>
  <c r="A32" i="22"/>
  <c r="AJ32" i="22" s="1"/>
  <c r="C39" i="2"/>
  <c r="D52" i="40" s="1"/>
  <c r="M16" i="42"/>
  <c r="M14" i="42"/>
  <c r="A12" i="22"/>
  <c r="A26" i="22"/>
  <c r="A24" i="22"/>
  <c r="A23" i="22"/>
  <c r="A19" i="22"/>
  <c r="A17" i="22"/>
  <c r="A16" i="22"/>
  <c r="A10" i="22"/>
  <c r="A9" i="22"/>
  <c r="A34" i="22"/>
  <c r="AJ34" i="22" s="1"/>
  <c r="M21" i="42"/>
  <c r="D9" i="40" l="1"/>
  <c r="E14" i="45"/>
  <c r="E19" i="45" s="1"/>
  <c r="A40" i="22"/>
  <c r="AJ40" i="22" s="1"/>
  <c r="B40" i="40"/>
  <c r="D17" i="40"/>
  <c r="D21" i="40"/>
  <c r="D20" i="40"/>
  <c r="D19" i="40"/>
  <c r="E9" i="22"/>
  <c r="E16" i="22" s="1"/>
  <c r="E23" i="22" s="1"/>
  <c r="C24" i="42"/>
  <c r="E11" i="22"/>
  <c r="E10" i="22"/>
  <c r="C78" i="42" l="1"/>
  <c r="N16" i="42" s="1"/>
  <c r="G10" i="42"/>
  <c r="R3" i="42"/>
  <c r="B47" i="42"/>
  <c r="D45" i="21"/>
  <c r="F9" i="22"/>
  <c r="G9" i="22" s="1"/>
  <c r="E11" i="40"/>
  <c r="F7" i="22"/>
  <c r="E18" i="22"/>
  <c r="E25" i="22" s="1"/>
  <c r="F11" i="22"/>
  <c r="E17" i="22"/>
  <c r="E24" i="22" s="1"/>
  <c r="F10" i="22"/>
  <c r="D17" i="21" l="1"/>
  <c r="D21" i="21"/>
  <c r="D15" i="21"/>
  <c r="D44" i="21"/>
  <c r="D25" i="21"/>
  <c r="D35" i="21"/>
  <c r="D31" i="21"/>
  <c r="D36" i="21"/>
  <c r="D22" i="21"/>
  <c r="D12" i="21"/>
  <c r="D19" i="21"/>
  <c r="D20" i="21"/>
  <c r="D18" i="21"/>
  <c r="D11" i="21"/>
  <c r="D55" i="21"/>
  <c r="I36" i="2"/>
  <c r="F51" i="40" s="1"/>
  <c r="I34" i="2"/>
  <c r="F49" i="40" s="1"/>
  <c r="I20" i="2"/>
  <c r="I16" i="2"/>
  <c r="I18" i="2"/>
  <c r="I17" i="2"/>
  <c r="I35" i="2"/>
  <c r="F50" i="40" s="1"/>
  <c r="I15" i="2"/>
  <c r="I19" i="2"/>
  <c r="I32" i="2"/>
  <c r="F47" i="40" s="1"/>
  <c r="I33" i="2"/>
  <c r="F48" i="40" s="1"/>
  <c r="G12" i="42"/>
  <c r="O26" i="42" s="1"/>
  <c r="F22" i="40"/>
  <c r="E18" i="40"/>
  <c r="C21" i="21"/>
  <c r="E21" i="40"/>
  <c r="E20" i="40"/>
  <c r="I14" i="2"/>
  <c r="E17" i="40"/>
  <c r="E19" i="40"/>
  <c r="I39" i="2"/>
  <c r="F52" i="40" s="1"/>
  <c r="S48" i="42"/>
  <c r="S3" i="42"/>
  <c r="D9" i="21"/>
  <c r="D29" i="21"/>
  <c r="D28" i="21"/>
  <c r="D30" i="21"/>
  <c r="D10" i="21"/>
  <c r="D16" i="21"/>
  <c r="D37" i="21"/>
  <c r="F16" i="22"/>
  <c r="F23" i="22" s="1"/>
  <c r="E15" i="22"/>
  <c r="E22" i="22" s="1"/>
  <c r="F15" i="22"/>
  <c r="F22" i="22" s="1"/>
  <c r="G7" i="22"/>
  <c r="H9" i="22"/>
  <c r="G16" i="22"/>
  <c r="G23" i="22" s="1"/>
  <c r="G11" i="22"/>
  <c r="F18" i="22"/>
  <c r="F25" i="22" s="1"/>
  <c r="F17" i="22"/>
  <c r="G10" i="22"/>
  <c r="C44" i="21" l="1"/>
  <c r="C17" i="21"/>
  <c r="C15" i="21"/>
  <c r="D23" i="21"/>
  <c r="C31" i="21"/>
  <c r="C45" i="21"/>
  <c r="C36" i="21"/>
  <c r="D32" i="21"/>
  <c r="D13" i="21"/>
  <c r="C55" i="21"/>
  <c r="C22" i="21"/>
  <c r="C11" i="21"/>
  <c r="C20" i="21"/>
  <c r="C12" i="21"/>
  <c r="C19" i="21"/>
  <c r="C18" i="21"/>
  <c r="B19" i="42"/>
  <c r="E12" i="22"/>
  <c r="F12" i="22" s="1"/>
  <c r="G12" i="22" s="1"/>
  <c r="H12" i="22" s="1"/>
  <c r="I12" i="22" s="1"/>
  <c r="J12" i="22" s="1"/>
  <c r="E10" i="45"/>
  <c r="C35" i="21"/>
  <c r="O29" i="42"/>
  <c r="O6" i="42"/>
  <c r="O25" i="42"/>
  <c r="O27" i="42"/>
  <c r="O24" i="42"/>
  <c r="O12" i="42"/>
  <c r="O23" i="42"/>
  <c r="O9" i="42"/>
  <c r="O7" i="42"/>
  <c r="O22" i="42"/>
  <c r="O5" i="42"/>
  <c r="O11" i="42"/>
  <c r="S15" i="42"/>
  <c r="S19" i="42"/>
  <c r="O10" i="42"/>
  <c r="O8" i="42"/>
  <c r="C28" i="21"/>
  <c r="O4" i="42"/>
  <c r="O32" i="42"/>
  <c r="O30" i="42"/>
  <c r="O16" i="42"/>
  <c r="O28" i="42"/>
  <c r="O15" i="42"/>
  <c r="O13" i="42"/>
  <c r="C30" i="21"/>
  <c r="C16" i="21"/>
  <c r="C54" i="21"/>
  <c r="C10" i="21"/>
  <c r="C29" i="21"/>
  <c r="C34" i="21"/>
  <c r="C25" i="21"/>
  <c r="C9" i="21"/>
  <c r="F1" i="22"/>
  <c r="T48" i="42"/>
  <c r="E32" i="22"/>
  <c r="F32" i="22" s="1"/>
  <c r="G32" i="22" s="1"/>
  <c r="H32" i="22" s="1"/>
  <c r="I32" i="22" s="1"/>
  <c r="J32" i="22" s="1"/>
  <c r="K32" i="22" s="1"/>
  <c r="L32" i="22" s="1"/>
  <c r="M32" i="22" s="1"/>
  <c r="N32" i="22" s="1"/>
  <c r="O32" i="22" s="1"/>
  <c r="P32" i="22" s="1"/>
  <c r="Q32" i="22" s="1"/>
  <c r="R32" i="22" s="1"/>
  <c r="S32" i="22" s="1"/>
  <c r="U32" i="22" s="1"/>
  <c r="V32" i="22" s="1"/>
  <c r="W32" i="22" s="1"/>
  <c r="X32" i="22" s="1"/>
  <c r="Y32" i="22" s="1"/>
  <c r="Z32" i="22" s="1"/>
  <c r="AA32" i="22" s="1"/>
  <c r="AB32" i="22" s="1"/>
  <c r="AC32" i="22" s="1"/>
  <c r="AD32" i="22" s="1"/>
  <c r="AE32" i="22" s="1"/>
  <c r="AF32" i="22" s="1"/>
  <c r="AG32" i="22" s="1"/>
  <c r="AH32" i="22" s="1"/>
  <c r="AI32" i="22" s="1"/>
  <c r="C37" i="21"/>
  <c r="F34" i="22"/>
  <c r="D54" i="21"/>
  <c r="D56" i="21" s="1"/>
  <c r="D34" i="21"/>
  <c r="D46" i="21" s="1"/>
  <c r="I9" i="2"/>
  <c r="H7" i="22"/>
  <c r="G15" i="22"/>
  <c r="G22" i="22" s="1"/>
  <c r="H16" i="22"/>
  <c r="H23" i="22" s="1"/>
  <c r="I9" i="22"/>
  <c r="H11" i="22"/>
  <c r="G18" i="22"/>
  <c r="G25" i="22" s="1"/>
  <c r="F24" i="22"/>
  <c r="G17" i="22"/>
  <c r="G24" i="22" s="1"/>
  <c r="H10" i="22"/>
  <c r="C46" i="21" l="1"/>
  <c r="D50" i="21"/>
  <c r="C23" i="21"/>
  <c r="C32" i="21"/>
  <c r="G34" i="22"/>
  <c r="H34" i="22" s="1"/>
  <c r="I34" i="22" s="1"/>
  <c r="J34" i="22" s="1"/>
  <c r="K34" i="22" s="1"/>
  <c r="L34" i="22" s="1"/>
  <c r="M34" i="22" s="1"/>
  <c r="N34" i="22" s="1"/>
  <c r="O34" i="22" s="1"/>
  <c r="P34" i="22" s="1"/>
  <c r="Q34" i="22" s="1"/>
  <c r="R34" i="22" s="1"/>
  <c r="S34" i="22" s="1"/>
  <c r="U34" i="22" s="1"/>
  <c r="V34" i="22" s="1"/>
  <c r="W34" i="22" s="1"/>
  <c r="X34" i="22" s="1"/>
  <c r="Y34" i="22" s="1"/>
  <c r="Z34" i="22" s="1"/>
  <c r="AA34" i="22" s="1"/>
  <c r="AB34" i="22" s="1"/>
  <c r="AC34" i="22" s="1"/>
  <c r="AD34" i="22" s="1"/>
  <c r="C56" i="21"/>
  <c r="C13" i="21"/>
  <c r="R4" i="42"/>
  <c r="S4" i="42" s="1"/>
  <c r="B21" i="42"/>
  <c r="I19" i="22"/>
  <c r="I26" i="22" s="1"/>
  <c r="F19" i="22"/>
  <c r="F26" i="22" s="1"/>
  <c r="F27" i="22" s="1"/>
  <c r="E13" i="22"/>
  <c r="H19" i="22"/>
  <c r="H26" i="22" s="1"/>
  <c r="F13" i="22"/>
  <c r="E19" i="22"/>
  <c r="E26" i="22" s="1"/>
  <c r="E27" i="22" s="1"/>
  <c r="G13" i="22"/>
  <c r="G19" i="22"/>
  <c r="G26" i="22" s="1"/>
  <c r="G27" i="22" s="1"/>
  <c r="E18" i="45"/>
  <c r="E20" i="45" s="1"/>
  <c r="E21" i="45" s="1"/>
  <c r="E11" i="45"/>
  <c r="G58" i="21"/>
  <c r="B20" i="42"/>
  <c r="U48" i="42"/>
  <c r="H15" i="22"/>
  <c r="H22" i="22" s="1"/>
  <c r="I7" i="22"/>
  <c r="J9" i="22"/>
  <c r="I16" i="22"/>
  <c r="I23" i="22" s="1"/>
  <c r="I11" i="22"/>
  <c r="H18" i="22"/>
  <c r="H25" i="22" s="1"/>
  <c r="H17" i="22"/>
  <c r="H24" i="22" s="1"/>
  <c r="I10" i="22"/>
  <c r="H13" i="22"/>
  <c r="K12" i="22"/>
  <c r="J19" i="22"/>
  <c r="J26" i="22" s="1"/>
  <c r="C50" i="21" l="1"/>
  <c r="B25" i="21"/>
  <c r="H25" i="21"/>
  <c r="F20" i="22"/>
  <c r="S49" i="42"/>
  <c r="T49" i="42" s="1"/>
  <c r="AE34" i="22"/>
  <c r="AF34" i="22" s="1"/>
  <c r="AG34" i="22" s="1"/>
  <c r="AH34" i="22" s="1"/>
  <c r="AI34" i="22" s="1"/>
  <c r="G20" i="22"/>
  <c r="E23" i="45"/>
  <c r="E24" i="45" s="1"/>
  <c r="D32" i="40" s="1"/>
  <c r="R10" i="42"/>
  <c r="S52" i="42" s="1"/>
  <c r="T52" i="42" s="1"/>
  <c r="U52" i="42" s="1"/>
  <c r="V52" i="42" s="1"/>
  <c r="W52" i="42" s="1"/>
  <c r="X52" i="42" s="1"/>
  <c r="Y52" i="42" s="1"/>
  <c r="Z52" i="42" s="1"/>
  <c r="AA52" i="42" s="1"/>
  <c r="AB52" i="42" s="1"/>
  <c r="AC52" i="42" s="1"/>
  <c r="AD52" i="42" s="1"/>
  <c r="AE52" i="42" s="1"/>
  <c r="AF52" i="42" s="1"/>
  <c r="AG52" i="42" s="1"/>
  <c r="AH52" i="42" s="1"/>
  <c r="AI52" i="42" s="1"/>
  <c r="AJ52" i="42" s="1"/>
  <c r="AK52" i="42" s="1"/>
  <c r="AL52" i="42" s="1"/>
  <c r="AM52" i="42" s="1"/>
  <c r="AN52" i="42" s="1"/>
  <c r="AO52" i="42" s="1"/>
  <c r="AP52" i="42" s="1"/>
  <c r="AQ52" i="42" s="1"/>
  <c r="AR52" i="42" s="1"/>
  <c r="AS52" i="42" s="1"/>
  <c r="AT52" i="42" s="1"/>
  <c r="AU52" i="42" s="1"/>
  <c r="AV52" i="42" s="1"/>
  <c r="E20" i="22"/>
  <c r="G51" i="21"/>
  <c r="E29" i="22" s="1"/>
  <c r="F26" i="40"/>
  <c r="V48" i="42"/>
  <c r="D31" i="40"/>
  <c r="H20" i="22"/>
  <c r="H27" i="22"/>
  <c r="J7" i="22"/>
  <c r="I15" i="22"/>
  <c r="I22" i="22" s="1"/>
  <c r="J16" i="22"/>
  <c r="J23" i="22" s="1"/>
  <c r="K9" i="22"/>
  <c r="I18" i="22"/>
  <c r="I25" i="22" s="1"/>
  <c r="J11" i="22"/>
  <c r="J10" i="22"/>
  <c r="I17" i="22"/>
  <c r="I13" i="22"/>
  <c r="K19" i="22"/>
  <c r="L12" i="22"/>
  <c r="E33" i="22" l="1"/>
  <c r="E36" i="22" s="1"/>
  <c r="S50" i="42"/>
  <c r="S64" i="42" s="1"/>
  <c r="R12" i="42"/>
  <c r="S10" i="42"/>
  <c r="S12" i="42" s="1"/>
  <c r="U49" i="42"/>
  <c r="T50" i="42"/>
  <c r="W48" i="42"/>
  <c r="F32" i="40"/>
  <c r="K7" i="22"/>
  <c r="J15" i="22"/>
  <c r="J22" i="22" s="1"/>
  <c r="K16" i="22"/>
  <c r="K23" i="22" s="1"/>
  <c r="L9" i="22"/>
  <c r="I20" i="22"/>
  <c r="K11" i="22"/>
  <c r="J18" i="22"/>
  <c r="J25" i="22" s="1"/>
  <c r="J17" i="22"/>
  <c r="J24" i="22" s="1"/>
  <c r="K10" i="22"/>
  <c r="J13" i="22"/>
  <c r="I24" i="22"/>
  <c r="I27" i="22" s="1"/>
  <c r="K26" i="22"/>
  <c r="L19" i="22"/>
  <c r="M12" i="22"/>
  <c r="F29" i="22" l="1"/>
  <c r="S54" i="42"/>
  <c r="S62" i="42" s="1"/>
  <c r="E37" i="22"/>
  <c r="V49" i="42"/>
  <c r="U50" i="42"/>
  <c r="T54" i="42"/>
  <c r="T64" i="42"/>
  <c r="X48" i="42"/>
  <c r="J20" i="22"/>
  <c r="K15" i="22"/>
  <c r="K22" i="22" s="1"/>
  <c r="L7" i="22"/>
  <c r="L16" i="22"/>
  <c r="L23" i="22" s="1"/>
  <c r="M9" i="22"/>
  <c r="J27" i="22"/>
  <c r="L11" i="22"/>
  <c r="K18" i="22"/>
  <c r="K25" i="22" s="1"/>
  <c r="L10" i="22"/>
  <c r="K17" i="22"/>
  <c r="K13" i="22"/>
  <c r="N12" i="22"/>
  <c r="M19" i="22"/>
  <c r="L26" i="22"/>
  <c r="G29" i="22" l="1"/>
  <c r="F33" i="22"/>
  <c r="F36" i="22" s="1"/>
  <c r="F37" i="22" s="1"/>
  <c r="S65" i="42"/>
  <c r="T65" i="42"/>
  <c r="T62" i="42"/>
  <c r="U64" i="42"/>
  <c r="U54" i="42"/>
  <c r="W49" i="42"/>
  <c r="V50" i="42"/>
  <c r="Y48" i="42"/>
  <c r="M7" i="22"/>
  <c r="L15" i="22"/>
  <c r="L22" i="22" s="1"/>
  <c r="K20" i="22"/>
  <c r="M16" i="22"/>
  <c r="M23" i="22" s="1"/>
  <c r="N9" i="22"/>
  <c r="L18" i="22"/>
  <c r="L25" i="22" s="1"/>
  <c r="M11" i="22"/>
  <c r="M10" i="22"/>
  <c r="L17" i="22"/>
  <c r="L24" i="22" s="1"/>
  <c r="L13" i="22"/>
  <c r="K24" i="22"/>
  <c r="K27" i="22" s="1"/>
  <c r="N19" i="22"/>
  <c r="N26" i="22" s="1"/>
  <c r="O12" i="22"/>
  <c r="M26" i="22"/>
  <c r="H29" i="22" l="1"/>
  <c r="G33" i="22"/>
  <c r="G36" i="22" s="1"/>
  <c r="G37" i="22" s="1"/>
  <c r="V54" i="42"/>
  <c r="V64" i="42"/>
  <c r="X49" i="42"/>
  <c r="W50" i="42"/>
  <c r="U65" i="42"/>
  <c r="U62" i="42"/>
  <c r="Z48" i="42"/>
  <c r="N7" i="22"/>
  <c r="M15" i="22"/>
  <c r="M22" i="22" s="1"/>
  <c r="O9" i="22"/>
  <c r="N16" i="22"/>
  <c r="N23" i="22" s="1"/>
  <c r="L20" i="22"/>
  <c r="L27" i="22"/>
  <c r="M18" i="22"/>
  <c r="M25" i="22" s="1"/>
  <c r="N11" i="22"/>
  <c r="N10" i="22"/>
  <c r="M17" i="22"/>
  <c r="M24" i="22" s="1"/>
  <c r="M13" i="22"/>
  <c r="O19" i="22"/>
  <c r="O26" i="22" s="1"/>
  <c r="P12" i="22"/>
  <c r="I29" i="22" l="1"/>
  <c r="H33" i="22"/>
  <c r="H36" i="22" s="1"/>
  <c r="H37" i="22" s="1"/>
  <c r="W64" i="42"/>
  <c r="W54" i="42"/>
  <c r="Y49" i="42"/>
  <c r="X50" i="42"/>
  <c r="V62" i="42"/>
  <c r="V65" i="42"/>
  <c r="AA48" i="42"/>
  <c r="M20" i="22"/>
  <c r="M27" i="22"/>
  <c r="N15" i="22"/>
  <c r="N22" i="22" s="1"/>
  <c r="O7" i="22"/>
  <c r="P9" i="22"/>
  <c r="O16" i="22"/>
  <c r="O23" i="22" s="1"/>
  <c r="O11" i="22"/>
  <c r="N18" i="22"/>
  <c r="N25" i="22" s="1"/>
  <c r="O10" i="22"/>
  <c r="N17" i="22"/>
  <c r="N24" i="22" s="1"/>
  <c r="N13" i="22"/>
  <c r="Q12" i="22"/>
  <c r="P19" i="22"/>
  <c r="J29" i="22" l="1"/>
  <c r="I33" i="22"/>
  <c r="I36" i="22" s="1"/>
  <c r="I37" i="22" s="1"/>
  <c r="X54" i="42"/>
  <c r="X64" i="42"/>
  <c r="Z49" i="42"/>
  <c r="Y50" i="42"/>
  <c r="W62" i="42"/>
  <c r="W65" i="42"/>
  <c r="AB48" i="42"/>
  <c r="N20" i="22"/>
  <c r="N27" i="22"/>
  <c r="O15" i="22"/>
  <c r="O22" i="22" s="1"/>
  <c r="P7" i="22"/>
  <c r="Q9" i="22"/>
  <c r="P16" i="22"/>
  <c r="P23" i="22" s="1"/>
  <c r="O18" i="22"/>
  <c r="O25" i="22" s="1"/>
  <c r="P11" i="22"/>
  <c r="P10" i="22"/>
  <c r="O17" i="22"/>
  <c r="O24" i="22" s="1"/>
  <c r="O13" i="22"/>
  <c r="Q19" i="22"/>
  <c r="Q26" i="22" s="1"/>
  <c r="R12" i="22"/>
  <c r="P26" i="22"/>
  <c r="K29" i="22" l="1"/>
  <c r="J33" i="22"/>
  <c r="J36" i="22" s="1"/>
  <c r="J37" i="22" s="1"/>
  <c r="Y64" i="42"/>
  <c r="Y54" i="42"/>
  <c r="AA49" i="42"/>
  <c r="Z50" i="42"/>
  <c r="X65" i="42"/>
  <c r="X62" i="42"/>
  <c r="AC48" i="42"/>
  <c r="O20" i="22"/>
  <c r="P15" i="22"/>
  <c r="P22" i="22" s="1"/>
  <c r="Q7" i="22"/>
  <c r="R9" i="22"/>
  <c r="Q16" i="22"/>
  <c r="Q23" i="22" s="1"/>
  <c r="O27" i="22"/>
  <c r="P18" i="22"/>
  <c r="P25" i="22" s="1"/>
  <c r="Q11" i="22"/>
  <c r="Q10" i="22"/>
  <c r="P17" i="22"/>
  <c r="P13" i="22"/>
  <c r="R19" i="22"/>
  <c r="S12" i="22"/>
  <c r="L29" i="22" l="1"/>
  <c r="K33" i="22"/>
  <c r="K36" i="22" s="1"/>
  <c r="K37" i="22" s="1"/>
  <c r="Z64" i="42"/>
  <c r="Z54" i="42"/>
  <c r="AB49" i="42"/>
  <c r="AA50" i="42"/>
  <c r="Y62" i="42"/>
  <c r="Y65" i="42"/>
  <c r="AD48" i="42"/>
  <c r="P20" i="22"/>
  <c r="R7" i="22"/>
  <c r="Q15" i="22"/>
  <c r="Q22" i="22" s="1"/>
  <c r="R16" i="22"/>
  <c r="R23" i="22" s="1"/>
  <c r="S9" i="22"/>
  <c r="Q18" i="22"/>
  <c r="Q25" i="22" s="1"/>
  <c r="R11" i="22"/>
  <c r="P24" i="22"/>
  <c r="P27" i="22" s="1"/>
  <c r="R10" i="22"/>
  <c r="Q17" i="22"/>
  <c r="Q13" i="22"/>
  <c r="S19" i="22"/>
  <c r="U12" i="22"/>
  <c r="R26" i="22"/>
  <c r="M29" i="22" l="1"/>
  <c r="L33" i="22"/>
  <c r="L36" i="22" s="1"/>
  <c r="L37" i="22" s="1"/>
  <c r="AA64" i="42"/>
  <c r="AA54" i="42"/>
  <c r="AC49" i="42"/>
  <c r="AB50" i="42"/>
  <c r="Z62" i="42"/>
  <c r="Z65" i="42"/>
  <c r="AE48" i="42"/>
  <c r="Q20" i="22"/>
  <c r="S7" i="22"/>
  <c r="R15" i="22"/>
  <c r="R22" i="22" s="1"/>
  <c r="U9" i="22"/>
  <c r="S16" i="22"/>
  <c r="S23" i="22" s="1"/>
  <c r="S11" i="22"/>
  <c r="R18" i="22"/>
  <c r="R25" i="22" s="1"/>
  <c r="S10" i="22"/>
  <c r="R17" i="22"/>
  <c r="R13" i="22"/>
  <c r="Q24" i="22"/>
  <c r="Q27" i="22" s="1"/>
  <c r="V12" i="22"/>
  <c r="U19" i="22"/>
  <c r="S26" i="22"/>
  <c r="N29" i="22" l="1"/>
  <c r="M33" i="22"/>
  <c r="M36" i="22" s="1"/>
  <c r="M37" i="22" s="1"/>
  <c r="AB54" i="42"/>
  <c r="AB64" i="42"/>
  <c r="AD49" i="42"/>
  <c r="AC50" i="42"/>
  <c r="AA65" i="42"/>
  <c r="AA62" i="42"/>
  <c r="AF48" i="42"/>
  <c r="R20" i="22"/>
  <c r="S15" i="22"/>
  <c r="S22" i="22" s="1"/>
  <c r="U7" i="22"/>
  <c r="V9" i="22"/>
  <c r="U16" i="22"/>
  <c r="U23" i="22" s="1"/>
  <c r="S18" i="22"/>
  <c r="S25" i="22" s="1"/>
  <c r="U11" i="22"/>
  <c r="U10" i="22"/>
  <c r="S17" i="22"/>
  <c r="S13" i="22"/>
  <c r="R24" i="22"/>
  <c r="R27" i="22" s="1"/>
  <c r="U26" i="22"/>
  <c r="W12" i="22"/>
  <c r="V19" i="22"/>
  <c r="V26" i="22" s="1"/>
  <c r="O29" i="22" l="1"/>
  <c r="N33" i="22"/>
  <c r="N36" i="22" s="1"/>
  <c r="N37" i="22" s="1"/>
  <c r="AC54" i="42"/>
  <c r="AC64" i="42"/>
  <c r="AE49" i="42"/>
  <c r="AD50" i="42"/>
  <c r="AB62" i="42"/>
  <c r="AB65" i="42"/>
  <c r="AG48" i="42"/>
  <c r="S20" i="22"/>
  <c r="U15" i="22"/>
  <c r="U22" i="22" s="1"/>
  <c r="V7" i="22"/>
  <c r="W9" i="22"/>
  <c r="V16" i="22"/>
  <c r="V23" i="22" s="1"/>
  <c r="V11" i="22"/>
  <c r="U18" i="22"/>
  <c r="U25" i="22" s="1"/>
  <c r="S24" i="22"/>
  <c r="S27" i="22" s="1"/>
  <c r="V10" i="22"/>
  <c r="U17" i="22"/>
  <c r="U13" i="22"/>
  <c r="X12" i="22"/>
  <c r="W19" i="22"/>
  <c r="P29" i="22" l="1"/>
  <c r="O33" i="22"/>
  <c r="O36" i="22" s="1"/>
  <c r="O37" i="22" s="1"/>
  <c r="T27" i="22"/>
  <c r="AD64" i="42"/>
  <c r="AD54" i="42"/>
  <c r="AF49" i="42"/>
  <c r="AE50" i="42"/>
  <c r="AC62" i="42"/>
  <c r="AC65" i="42"/>
  <c r="AH48" i="42"/>
  <c r="U20" i="22"/>
  <c r="W7" i="22"/>
  <c r="V15" i="22"/>
  <c r="V22" i="22" s="1"/>
  <c r="X9" i="22"/>
  <c r="W16" i="22"/>
  <c r="W23" i="22" s="1"/>
  <c r="V18" i="22"/>
  <c r="V25" i="22" s="1"/>
  <c r="W11" i="22"/>
  <c r="W10" i="22"/>
  <c r="V17" i="22"/>
  <c r="V13" i="22"/>
  <c r="U24" i="22"/>
  <c r="U27" i="22" s="1"/>
  <c r="X19" i="22"/>
  <c r="X26" i="22" s="1"/>
  <c r="Y12" i="22"/>
  <c r="W26" i="22"/>
  <c r="Q29" i="22" l="1"/>
  <c r="P33" i="22"/>
  <c r="P36" i="22" s="1"/>
  <c r="P37" i="22" s="1"/>
  <c r="AE64" i="42"/>
  <c r="AE54" i="42"/>
  <c r="AG49" i="42"/>
  <c r="AF50" i="42"/>
  <c r="AD65" i="42"/>
  <c r="AD62" i="42"/>
  <c r="AI48" i="42"/>
  <c r="V20" i="22"/>
  <c r="V24" i="22"/>
  <c r="V27" i="22" s="1"/>
  <c r="X7" i="22"/>
  <c r="W15" i="22"/>
  <c r="W22" i="22" s="1"/>
  <c r="X16" i="22"/>
  <c r="X23" i="22" s="1"/>
  <c r="Y9" i="22"/>
  <c r="W18" i="22"/>
  <c r="W25" i="22" s="1"/>
  <c r="X11" i="22"/>
  <c r="W17" i="22"/>
  <c r="W24" i="22" s="1"/>
  <c r="X10" i="22"/>
  <c r="W13" i="22"/>
  <c r="Z12" i="22"/>
  <c r="Y19" i="22"/>
  <c r="R29" i="22" l="1"/>
  <c r="Q33" i="22"/>
  <c r="Q36" i="22" s="1"/>
  <c r="Q37" i="22" s="1"/>
  <c r="AF54" i="42"/>
  <c r="AF64" i="42"/>
  <c r="AH49" i="42"/>
  <c r="AG50" i="42"/>
  <c r="AE65" i="42"/>
  <c r="AE62" i="42"/>
  <c r="AJ48" i="42"/>
  <c r="W27" i="22"/>
  <c r="W20" i="22"/>
  <c r="Y7" i="22"/>
  <c r="X15" i="22"/>
  <c r="X22" i="22" s="1"/>
  <c r="Y16" i="22"/>
  <c r="Y23" i="22" s="1"/>
  <c r="Z9" i="22"/>
  <c r="Y11" i="22"/>
  <c r="X18" i="22"/>
  <c r="X25" i="22" s="1"/>
  <c r="Y10" i="22"/>
  <c r="X17" i="22"/>
  <c r="X24" i="22" s="1"/>
  <c r="X13" i="22"/>
  <c r="Z19" i="22"/>
  <c r="Z26" i="22" s="1"/>
  <c r="AA12" i="22"/>
  <c r="Y26" i="22"/>
  <c r="S29" i="22" l="1"/>
  <c r="R33" i="22"/>
  <c r="R36" i="22" s="1"/>
  <c r="R37" i="22" s="1"/>
  <c r="AI49" i="42"/>
  <c r="AH50" i="42"/>
  <c r="AG64" i="42"/>
  <c r="AG54" i="42"/>
  <c r="AF62" i="42"/>
  <c r="AF65" i="42"/>
  <c r="AK48" i="42"/>
  <c r="X20" i="22"/>
  <c r="Y15" i="22"/>
  <c r="Y22" i="22" s="1"/>
  <c r="Z7" i="22"/>
  <c r="AA9" i="22"/>
  <c r="Z16" i="22"/>
  <c r="Z23" i="22" s="1"/>
  <c r="X27" i="22"/>
  <c r="Z11" i="22"/>
  <c r="Y18" i="22"/>
  <c r="Y25" i="22" s="1"/>
  <c r="Y17" i="22"/>
  <c r="Y24" i="22" s="1"/>
  <c r="Z10" i="22"/>
  <c r="Y13" i="22"/>
  <c r="AA19" i="22"/>
  <c r="AB12" i="22"/>
  <c r="S33" i="22" l="1"/>
  <c r="S36" i="22" s="1"/>
  <c r="S37" i="22" s="1"/>
  <c r="T37" i="22" s="1"/>
  <c r="U29" i="22"/>
  <c r="AH54" i="42"/>
  <c r="AH64" i="42"/>
  <c r="AG65" i="42"/>
  <c r="AG62" i="42"/>
  <c r="Q63" i="42" s="1"/>
  <c r="AJ49" i="42"/>
  <c r="AI50" i="42"/>
  <c r="AL48" i="42"/>
  <c r="Y20" i="22"/>
  <c r="Y27" i="22"/>
  <c r="Z15" i="22"/>
  <c r="Z22" i="22" s="1"/>
  <c r="AA7" i="22"/>
  <c r="AB9" i="22"/>
  <c r="AA16" i="22"/>
  <c r="AA23" i="22" s="1"/>
  <c r="AA11" i="22"/>
  <c r="Z18" i="22"/>
  <c r="Z25" i="22" s="1"/>
  <c r="AA10" i="22"/>
  <c r="Z17" i="22"/>
  <c r="Z13" i="22"/>
  <c r="AC12" i="22"/>
  <c r="AB19" i="22"/>
  <c r="AB26" i="22" s="1"/>
  <c r="AA26" i="22"/>
  <c r="V29" i="22" l="1"/>
  <c r="U33" i="22"/>
  <c r="U36" i="22" s="1"/>
  <c r="U37" i="22" s="1"/>
  <c r="AI64" i="42"/>
  <c r="AI54" i="42"/>
  <c r="AK49" i="42"/>
  <c r="AJ50" i="42"/>
  <c r="R38" i="42"/>
  <c r="N33" i="42"/>
  <c r="AH65" i="42"/>
  <c r="AH62" i="42"/>
  <c r="AM48" i="42"/>
  <c r="Z20" i="22"/>
  <c r="AA15" i="22"/>
  <c r="AA22" i="22" s="1"/>
  <c r="AB7" i="22"/>
  <c r="AB16" i="22"/>
  <c r="AB23" i="22" s="1"/>
  <c r="AC9" i="22"/>
  <c r="AB11" i="22"/>
  <c r="AA18" i="22"/>
  <c r="AA25" i="22" s="1"/>
  <c r="AB10" i="22"/>
  <c r="AA17" i="22"/>
  <c r="AA13" i="22"/>
  <c r="Z24" i="22"/>
  <c r="Z27" i="22" s="1"/>
  <c r="AC19" i="22"/>
  <c r="AD12" i="22"/>
  <c r="V33" i="22" l="1"/>
  <c r="V36" i="22" s="1"/>
  <c r="V37" i="22" s="1"/>
  <c r="W29" i="22"/>
  <c r="AJ64" i="42"/>
  <c r="AJ54" i="42"/>
  <c r="AL49" i="42"/>
  <c r="AK50" i="42"/>
  <c r="AI65" i="42"/>
  <c r="AI62" i="42"/>
  <c r="AN48" i="42"/>
  <c r="AA20" i="22"/>
  <c r="AC7" i="22"/>
  <c r="AB15" i="22"/>
  <c r="AB22" i="22" s="1"/>
  <c r="AD9" i="22"/>
  <c r="AC16" i="22"/>
  <c r="AC23" i="22" s="1"/>
  <c r="AC11" i="22"/>
  <c r="AB18" i="22"/>
  <c r="AB25" i="22" s="1"/>
  <c r="AA24" i="22"/>
  <c r="AA27" i="22" s="1"/>
  <c r="AC10" i="22"/>
  <c r="AB17" i="22"/>
  <c r="AB13" i="22"/>
  <c r="AE12" i="22"/>
  <c r="AD19" i="22"/>
  <c r="AC26" i="22"/>
  <c r="W33" i="22" l="1"/>
  <c r="W36" i="22" s="1"/>
  <c r="W37" i="22" s="1"/>
  <c r="X29" i="22"/>
  <c r="AK64" i="42"/>
  <c r="AK54" i="42"/>
  <c r="AJ65" i="42"/>
  <c r="AJ62" i="42"/>
  <c r="AM49" i="42"/>
  <c r="AL50" i="42"/>
  <c r="AO48" i="42"/>
  <c r="AB20" i="22"/>
  <c r="AC15" i="22"/>
  <c r="AC22" i="22" s="1"/>
  <c r="AD7" i="22"/>
  <c r="AE9" i="22"/>
  <c r="AD16" i="22"/>
  <c r="AD23" i="22" s="1"/>
  <c r="AD11" i="22"/>
  <c r="AC18" i="22"/>
  <c r="AC25" i="22" s="1"/>
  <c r="AB24" i="22"/>
  <c r="AB27" i="22" s="1"/>
  <c r="AD10" i="22"/>
  <c r="AC17" i="22"/>
  <c r="AC24" i="22" s="1"/>
  <c r="AC13" i="22"/>
  <c r="AF12" i="22"/>
  <c r="AE19" i="22"/>
  <c r="AE26" i="22" s="1"/>
  <c r="AD26" i="22"/>
  <c r="X33" i="22" l="1"/>
  <c r="X36" i="22" s="1"/>
  <c r="X37" i="22" s="1"/>
  <c r="Y29" i="22"/>
  <c r="AN49" i="42"/>
  <c r="AM50" i="42"/>
  <c r="AK62" i="42"/>
  <c r="AK65" i="42"/>
  <c r="AL54" i="42"/>
  <c r="AL64" i="42"/>
  <c r="AP48" i="42"/>
  <c r="AC27" i="22"/>
  <c r="AC20" i="22"/>
  <c r="AD15" i="22"/>
  <c r="AD22" i="22" s="1"/>
  <c r="AE7" i="22"/>
  <c r="AE16" i="22"/>
  <c r="AE23" i="22" s="1"/>
  <c r="AF9" i="22"/>
  <c r="AE11" i="22"/>
  <c r="AD18" i="22"/>
  <c r="AD25" i="22" s="1"/>
  <c r="AE10" i="22"/>
  <c r="AD17" i="22"/>
  <c r="AD24" i="22" s="1"/>
  <c r="AD13" i="22"/>
  <c r="AF19" i="22"/>
  <c r="AG12" i="22"/>
  <c r="Z29" i="22" l="1"/>
  <c r="Y33" i="22"/>
  <c r="Y36" i="22" s="1"/>
  <c r="Y37" i="22" s="1"/>
  <c r="AL65" i="42"/>
  <c r="AL62" i="42"/>
  <c r="AM64" i="42"/>
  <c r="AM54" i="42"/>
  <c r="AO49" i="42"/>
  <c r="AN50" i="42"/>
  <c r="AQ48" i="42"/>
  <c r="AD20" i="22"/>
  <c r="AD27" i="22"/>
  <c r="AE15" i="22"/>
  <c r="AE22" i="22" s="1"/>
  <c r="AF7" i="22"/>
  <c r="AG9" i="22"/>
  <c r="AF16" i="22"/>
  <c r="AF23" i="22" s="1"/>
  <c r="AF11" i="22"/>
  <c r="AE18" i="22"/>
  <c r="AE25" i="22" s="1"/>
  <c r="AE17" i="22"/>
  <c r="AF10" i="22"/>
  <c r="AE13" i="22"/>
  <c r="AF26" i="22"/>
  <c r="AG19" i="22"/>
  <c r="AG26" i="22" s="1"/>
  <c r="AH12" i="22"/>
  <c r="AA29" i="22" l="1"/>
  <c r="Z33" i="22"/>
  <c r="Z36" i="22" s="1"/>
  <c r="Z37" i="22" s="1"/>
  <c r="AN54" i="42"/>
  <c r="AN64" i="42"/>
  <c r="AP49" i="42"/>
  <c r="AO50" i="42"/>
  <c r="AM65" i="42"/>
  <c r="AM62" i="42"/>
  <c r="AR48" i="42"/>
  <c r="AE20" i="22"/>
  <c r="AE24" i="22"/>
  <c r="AE27" i="22" s="1"/>
  <c r="AG7" i="22"/>
  <c r="AF15" i="22"/>
  <c r="AF22" i="22" s="1"/>
  <c r="AG16" i="22"/>
  <c r="AG23" i="22" s="1"/>
  <c r="AH9" i="22"/>
  <c r="AF18" i="22"/>
  <c r="AF25" i="22" s="1"/>
  <c r="AG11" i="22"/>
  <c r="AG10" i="22"/>
  <c r="AF17" i="22"/>
  <c r="AF13" i="22"/>
  <c r="AI12" i="22"/>
  <c r="AH19" i="22"/>
  <c r="AA33" i="22" l="1"/>
  <c r="AA36" i="22" s="1"/>
  <c r="AA37" i="22" s="1"/>
  <c r="AB29" i="22"/>
  <c r="AO64" i="42"/>
  <c r="AO54" i="42"/>
  <c r="AQ49" i="42"/>
  <c r="AP50" i="42"/>
  <c r="AN65" i="42"/>
  <c r="AN62" i="42"/>
  <c r="AS48" i="42"/>
  <c r="AF20" i="22"/>
  <c r="AH7" i="22"/>
  <c r="AG15" i="22"/>
  <c r="AG22" i="22" s="1"/>
  <c r="AI9" i="22"/>
  <c r="AH16" i="22"/>
  <c r="AH23" i="22" s="1"/>
  <c r="AH11" i="22"/>
  <c r="AG18" i="22"/>
  <c r="AG25" i="22" s="1"/>
  <c r="AG17" i="22"/>
  <c r="AH10" i="22"/>
  <c r="AG13" i="22"/>
  <c r="AF24" i="22"/>
  <c r="AF27" i="22" s="1"/>
  <c r="AH26" i="22"/>
  <c r="AI19" i="22"/>
  <c r="AB33" i="22" l="1"/>
  <c r="AB36" i="22" s="1"/>
  <c r="AB37" i="22" s="1"/>
  <c r="AC29" i="22"/>
  <c r="AP64" i="42"/>
  <c r="AP54" i="42"/>
  <c r="AR49" i="42"/>
  <c r="AQ50" i="42"/>
  <c r="AO65" i="42"/>
  <c r="AO62" i="42"/>
  <c r="AT48" i="42"/>
  <c r="AG20" i="22"/>
  <c r="AH15" i="22"/>
  <c r="AH22" i="22" s="1"/>
  <c r="AI7" i="22"/>
  <c r="AI16" i="22"/>
  <c r="AI23" i="22" s="1"/>
  <c r="AI11" i="22"/>
  <c r="AH18" i="22"/>
  <c r="AH25" i="22" s="1"/>
  <c r="AI10" i="22"/>
  <c r="AH17" i="22"/>
  <c r="AH13" i="22"/>
  <c r="AG24" i="22"/>
  <c r="AG27" i="22" s="1"/>
  <c r="AI26" i="22"/>
  <c r="AD29" i="22" l="1"/>
  <c r="AC33" i="22"/>
  <c r="AC36" i="22" s="1"/>
  <c r="AC37" i="22" s="1"/>
  <c r="AQ54" i="42"/>
  <c r="AQ64" i="42"/>
  <c r="AS49" i="42"/>
  <c r="AR50" i="42"/>
  <c r="AP65" i="42"/>
  <c r="AP62" i="42"/>
  <c r="AU48" i="42"/>
  <c r="AH20" i="22"/>
  <c r="AI15" i="22"/>
  <c r="AI22" i="22" s="1"/>
  <c r="AI18" i="22"/>
  <c r="AI25" i="22" s="1"/>
  <c r="AI17" i="22"/>
  <c r="AI24" i="22" s="1"/>
  <c r="AI13" i="22"/>
  <c r="AH24" i="22"/>
  <c r="AH27" i="22" s="1"/>
  <c r="AE29" i="22" l="1"/>
  <c r="AD33" i="22"/>
  <c r="AD36" i="22" s="1"/>
  <c r="AD37" i="22" s="1"/>
  <c r="AR64" i="42"/>
  <c r="AR54" i="42"/>
  <c r="AT49" i="42"/>
  <c r="AS50" i="42"/>
  <c r="AQ62" i="42"/>
  <c r="AQ65" i="42"/>
  <c r="AV48" i="42"/>
  <c r="AI27" i="22"/>
  <c r="AI20" i="22"/>
  <c r="AE33" i="22" l="1"/>
  <c r="AE36" i="22" s="1"/>
  <c r="AE37" i="22" s="1"/>
  <c r="AF29" i="22"/>
  <c r="AS64" i="42"/>
  <c r="AS54" i="42"/>
  <c r="AR62" i="42"/>
  <c r="AR65" i="42"/>
  <c r="AU49" i="42"/>
  <c r="AT50" i="42"/>
  <c r="AF33" i="22" l="1"/>
  <c r="AF36" i="22" s="1"/>
  <c r="AF37" i="22" s="1"/>
  <c r="AG29" i="22"/>
  <c r="AT54" i="42"/>
  <c r="AT64" i="42"/>
  <c r="AS65" i="42"/>
  <c r="AS62" i="42"/>
  <c r="AV49" i="42"/>
  <c r="AV50" i="42" s="1"/>
  <c r="AU50" i="42"/>
  <c r="I21" i="2"/>
  <c r="AG33" i="22" l="1"/>
  <c r="AG36" i="22" s="1"/>
  <c r="AG37" i="22" s="1"/>
  <c r="AH29" i="22"/>
  <c r="AU64" i="42"/>
  <c r="AU54" i="42"/>
  <c r="AV64" i="42"/>
  <c r="AV54" i="42"/>
  <c r="AT62" i="42"/>
  <c r="AT65" i="42"/>
  <c r="I31" i="2"/>
  <c r="F46" i="40" s="1"/>
  <c r="D46" i="40"/>
  <c r="AH33" i="22" l="1"/>
  <c r="AH36" i="22" s="1"/>
  <c r="AH37" i="22" s="1"/>
  <c r="AI29" i="22"/>
  <c r="AI33" i="22" s="1"/>
  <c r="AI36" i="22" s="1"/>
  <c r="AI37" i="22" s="1"/>
  <c r="AV65" i="42"/>
  <c r="AV62" i="42"/>
  <c r="AU65" i="42"/>
  <c r="AU62" i="42"/>
  <c r="I12" i="2"/>
  <c r="V4" i="42" l="1"/>
  <c r="B72" i="42" l="1"/>
  <c r="N21" i="42" s="1"/>
  <c r="O21" i="42" s="1"/>
  <c r="D40" i="40"/>
  <c r="I25" i="2"/>
  <c r="F40" i="40" s="1"/>
  <c r="B28" i="42" l="1"/>
  <c r="R23" i="42" s="1"/>
  <c r="N3" i="42"/>
  <c r="R21" i="42" s="1"/>
  <c r="S21" i="42" s="1"/>
  <c r="C72" i="42"/>
  <c r="R30" i="42"/>
  <c r="R32" i="42" s="1"/>
  <c r="I7" i="2"/>
  <c r="D55" i="40" l="1"/>
  <c r="I42" i="2"/>
  <c r="F55" i="40" s="1"/>
  <c r="N41" i="42"/>
  <c r="S23" i="42"/>
  <c r="R20" i="42"/>
  <c r="O3" i="42"/>
  <c r="R18" i="42"/>
  <c r="S18" i="42" s="1"/>
  <c r="I11" i="2" l="1"/>
  <c r="I8" i="2" l="1"/>
  <c r="C65" i="5" l="1"/>
  <c r="O41" i="42" l="1"/>
  <c r="S20" i="42" l="1"/>
  <c r="I10" i="2" l="1"/>
  <c r="I30" i="2" l="1"/>
  <c r="F45" i="40" s="1"/>
  <c r="D45" i="40"/>
  <c r="I13" i="2" l="1"/>
  <c r="J20" i="2" l="1"/>
  <c r="J19" i="2"/>
  <c r="J17" i="2"/>
  <c r="J18" i="2"/>
  <c r="J13" i="2"/>
  <c r="J16" i="2"/>
  <c r="J15" i="2"/>
  <c r="J10" i="2"/>
  <c r="J8" i="2"/>
  <c r="J7" i="2"/>
  <c r="J14" i="2"/>
  <c r="J21" i="2"/>
  <c r="I22" i="2"/>
  <c r="J11" i="2"/>
  <c r="J12" i="2"/>
  <c r="J9" i="2"/>
  <c r="J22" i="2" l="1"/>
  <c r="N17" i="42"/>
  <c r="O17" i="42" s="1"/>
  <c r="N34" i="42"/>
  <c r="O34" i="42" s="1"/>
  <c r="C40" i="2"/>
  <c r="I40" i="2" s="1"/>
  <c r="F53" i="40" s="1"/>
  <c r="B25" i="42"/>
  <c r="R16" i="42" s="1"/>
  <c r="D53" i="40" l="1"/>
  <c r="S16" i="42"/>
  <c r="N39" i="42"/>
  <c r="O39" i="42" l="1"/>
  <c r="F71" i="5" l="1"/>
  <c r="F78" i="5" s="1"/>
  <c r="F77" i="5" l="1"/>
  <c r="C48" i="5"/>
  <c r="E59" i="5"/>
  <c r="E71" i="5" s="1"/>
  <c r="C25" i="42"/>
  <c r="K71" i="5"/>
  <c r="K75" i="5" s="1"/>
  <c r="G73" i="5" l="1"/>
  <c r="G71" i="5"/>
  <c r="E77" i="5"/>
  <c r="H71" i="5" s="1"/>
  <c r="B44" i="42"/>
  <c r="C26" i="42"/>
  <c r="L71" i="5"/>
  <c r="L75" i="5" s="1"/>
  <c r="I133" i="53" s="1"/>
  <c r="I140" i="53" s="1"/>
  <c r="I232" i="53" l="1"/>
  <c r="I239" i="53" s="1"/>
  <c r="I241" i="53" s="1"/>
  <c r="I242" i="53" s="1"/>
  <c r="I244" i="53" s="1"/>
  <c r="I142" i="53"/>
  <c r="I143" i="53" s="1"/>
  <c r="I145" i="53" l="1"/>
  <c r="I147" i="53" s="1"/>
  <c r="I196" i="53" s="1"/>
  <c r="I246" i="53"/>
  <c r="I294" i="53" s="1"/>
  <c r="C51" i="21"/>
  <c r="C58" i="21"/>
  <c r="F31" i="40" s="1"/>
  <c r="D58" i="21"/>
  <c r="D51" i="21" l="1"/>
  <c r="C68" i="5" l="1"/>
  <c r="C69" i="5" s="1"/>
  <c r="D69" i="5"/>
  <c r="I54" i="5" l="1"/>
  <c r="I55" i="5"/>
  <c r="J54" i="5"/>
  <c r="J55" i="5"/>
  <c r="C59" i="5"/>
  <c r="C71" i="5" s="1"/>
  <c r="D71" i="5"/>
  <c r="D78" i="5" s="1"/>
  <c r="C78" i="5" s="1"/>
  <c r="B26" i="42" l="1"/>
  <c r="R17" i="42" s="1"/>
  <c r="C73" i="5"/>
  <c r="C43" i="2" s="1"/>
  <c r="I43" i="2" s="1"/>
  <c r="F56" i="40" s="1"/>
  <c r="D77" i="5"/>
  <c r="C41" i="2"/>
  <c r="I73" i="5" l="1"/>
  <c r="H77" i="5"/>
  <c r="C27" i="42"/>
  <c r="C77" i="5"/>
  <c r="D57" i="40" s="1"/>
  <c r="D56" i="40"/>
  <c r="B27" i="42"/>
  <c r="R22" i="42" s="1"/>
  <c r="S22" i="42" s="1"/>
  <c r="I71" i="5"/>
  <c r="R24" i="42"/>
  <c r="S24" i="42" s="1"/>
  <c r="S17" i="42"/>
  <c r="N40" i="42"/>
  <c r="C44" i="2"/>
  <c r="J41" i="2" s="1"/>
  <c r="E54" i="40" s="1"/>
  <c r="I41" i="2"/>
  <c r="F54" i="40" s="1"/>
  <c r="D54" i="40"/>
  <c r="D58" i="40" l="1"/>
  <c r="J73" i="5"/>
  <c r="J71" i="5"/>
  <c r="G77" i="5"/>
  <c r="I77" i="5"/>
  <c r="N46" i="42"/>
  <c r="N47" i="42" s="1"/>
  <c r="N48" i="42" s="1"/>
  <c r="N14" i="42" s="1"/>
  <c r="O14" i="42" s="1"/>
  <c r="N42" i="42"/>
  <c r="O42" i="42" s="1"/>
  <c r="J40" i="2"/>
  <c r="E53" i="40" s="1"/>
  <c r="J42" i="2"/>
  <c r="E55" i="40" s="1"/>
  <c r="I44" i="2"/>
  <c r="J39" i="2"/>
  <c r="J43" i="2"/>
  <c r="E56" i="40" s="1"/>
  <c r="O40" i="42"/>
  <c r="N43" i="42"/>
  <c r="N31" i="42" l="1"/>
  <c r="O31" i="42" s="1"/>
  <c r="J44" i="2"/>
  <c r="E52" i="40"/>
  <c r="O43" i="42"/>
  <c r="N18" i="42"/>
  <c r="O18" i="42" s="1"/>
  <c r="N35" i="42"/>
  <c r="O35" i="42" s="1"/>
  <c r="A43" i="22"/>
  <c r="AJ43" i="22" s="1"/>
  <c r="A44" i="22"/>
  <c r="AJ44" i="22" s="1"/>
  <c r="B41" i="40" l="1"/>
  <c r="B42" i="40"/>
  <c r="B43" i="40" l="1"/>
  <c r="B44" i="40" l="1"/>
  <c r="O33" i="42"/>
  <c r="D40" i="22"/>
  <c r="E40" i="22" l="1"/>
  <c r="F40" i="22" s="1"/>
  <c r="G40" i="22" l="1"/>
  <c r="H40" i="22" l="1"/>
  <c r="I40" i="22" l="1"/>
  <c r="J40" i="22" l="1"/>
  <c r="K40" i="22" l="1"/>
  <c r="L40" i="22" l="1"/>
  <c r="M40" i="22" l="1"/>
  <c r="N40" i="22" l="1"/>
  <c r="O40" i="22" l="1"/>
  <c r="P40" i="22" l="1"/>
  <c r="Q40" i="22" l="1"/>
  <c r="R40" i="22" l="1"/>
  <c r="S40" i="22" l="1"/>
  <c r="U40" i="22" l="1"/>
  <c r="V40" i="22" l="1"/>
  <c r="W40" i="22" l="1"/>
  <c r="X40" i="22" l="1"/>
  <c r="Y40" i="22" l="1"/>
  <c r="Z40" i="22" l="1"/>
  <c r="AA40" i="22" l="1"/>
  <c r="AB40" i="22" l="1"/>
  <c r="AC40" i="22" l="1"/>
  <c r="AD40" i="22" l="1"/>
  <c r="AE40" i="22" l="1"/>
  <c r="AF40" i="22" l="1"/>
  <c r="AG40" i="22" l="1"/>
  <c r="AH40" i="22" l="1"/>
  <c r="AI40" i="22" l="1"/>
  <c r="E58" i="45"/>
  <c r="D63" i="45"/>
  <c r="C26" i="2"/>
  <c r="G43" i="22" l="1"/>
  <c r="E43" i="22"/>
  <c r="D41" i="40"/>
  <c r="C43" i="22"/>
  <c r="R43" i="22"/>
  <c r="AE43" i="22"/>
  <c r="W43" i="22"/>
  <c r="F43" i="22"/>
  <c r="AD43" i="22"/>
  <c r="N43" i="22"/>
  <c r="AI43" i="22"/>
  <c r="AA43" i="22"/>
  <c r="AH43" i="22"/>
  <c r="Z43" i="22"/>
  <c r="J43" i="22"/>
  <c r="I26" i="2"/>
  <c r="F41" i="40" s="1"/>
  <c r="V43" i="22"/>
  <c r="Q43" i="22"/>
  <c r="M43" i="22"/>
  <c r="I43" i="22"/>
  <c r="AG43" i="22"/>
  <c r="AC43" i="22"/>
  <c r="Y43" i="22"/>
  <c r="U43" i="22"/>
  <c r="P43" i="22"/>
  <c r="L43" i="22"/>
  <c r="H43" i="22"/>
  <c r="AF43" i="22"/>
  <c r="AB43" i="22"/>
  <c r="X43" i="22"/>
  <c r="S43" i="22"/>
  <c r="O43" i="22"/>
  <c r="K43" i="22"/>
  <c r="E78" i="45"/>
  <c r="D83" i="45"/>
  <c r="E45" i="22" s="1"/>
  <c r="C28" i="2"/>
  <c r="D43" i="40" l="1"/>
  <c r="C45" i="22"/>
  <c r="AH45" i="22"/>
  <c r="AD45" i="22"/>
  <c r="Z45" i="22"/>
  <c r="U45" i="22"/>
  <c r="L45" i="22"/>
  <c r="AF45" i="22"/>
  <c r="AB45" i="22"/>
  <c r="X45" i="22"/>
  <c r="P45" i="22"/>
  <c r="H45" i="22"/>
  <c r="AG45" i="22"/>
  <c r="AC45" i="22"/>
  <c r="Y45" i="22"/>
  <c r="S45" i="22"/>
  <c r="K45" i="22"/>
  <c r="AI45" i="22"/>
  <c r="AE45" i="22"/>
  <c r="AA45" i="22"/>
  <c r="W45" i="22"/>
  <c r="O45" i="22"/>
  <c r="G45" i="22"/>
  <c r="R45" i="22"/>
  <c r="N45" i="22"/>
  <c r="J45" i="22"/>
  <c r="F45" i="22"/>
  <c r="V45" i="22"/>
  <c r="Q45" i="22"/>
  <c r="M45" i="22"/>
  <c r="I45" i="22"/>
  <c r="I28" i="2"/>
  <c r="F43" i="40" s="1"/>
  <c r="E88" i="45"/>
  <c r="D93" i="45"/>
  <c r="C29" i="2"/>
  <c r="I29" i="2" l="1"/>
  <c r="F44" i="40" s="1"/>
  <c r="C46" i="22"/>
  <c r="AG46" i="22"/>
  <c r="AC46" i="22"/>
  <c r="Y46" i="22"/>
  <c r="U46" i="22"/>
  <c r="P46" i="22"/>
  <c r="L46" i="22"/>
  <c r="H46" i="22"/>
  <c r="AF46" i="22"/>
  <c r="AB46" i="22"/>
  <c r="X46" i="22"/>
  <c r="S46" i="22"/>
  <c r="O46" i="22"/>
  <c r="K46" i="22"/>
  <c r="G46" i="22"/>
  <c r="AI46" i="22"/>
  <c r="AE46" i="22"/>
  <c r="AA46" i="22"/>
  <c r="W46" i="22"/>
  <c r="R46" i="22"/>
  <c r="N46" i="22"/>
  <c r="J46" i="22"/>
  <c r="F46" i="22"/>
  <c r="AH46" i="22"/>
  <c r="AD46" i="22"/>
  <c r="Z46" i="22"/>
  <c r="V46" i="22"/>
  <c r="Q46" i="22"/>
  <c r="M46" i="22"/>
  <c r="I46" i="22"/>
  <c r="E46" i="22"/>
  <c r="D44" i="40"/>
  <c r="E68" i="45"/>
  <c r="D73" i="45"/>
  <c r="E44" i="22" s="1"/>
  <c r="C27" i="2"/>
  <c r="I27" i="2" l="1"/>
  <c r="F42" i="40" s="1"/>
  <c r="C44" i="22"/>
  <c r="E52" i="22"/>
  <c r="D35" i="40" s="1"/>
  <c r="D42" i="40"/>
  <c r="C37" i="2"/>
  <c r="Y44" i="22"/>
  <c r="H44" i="22"/>
  <c r="U44" i="22"/>
  <c r="U48" i="22" s="1"/>
  <c r="P44" i="22"/>
  <c r="AG44" i="22"/>
  <c r="AC44" i="22"/>
  <c r="L44" i="22"/>
  <c r="E48" i="22"/>
  <c r="E51" i="22"/>
  <c r="D34" i="40" s="1"/>
  <c r="AF44" i="22"/>
  <c r="AF52" i="22" s="1"/>
  <c r="X44" i="22"/>
  <c r="X52" i="22" s="1"/>
  <c r="S44" i="22"/>
  <c r="S52" i="22" s="1"/>
  <c r="O44" i="22"/>
  <c r="O52" i="22" s="1"/>
  <c r="K44" i="22"/>
  <c r="K52" i="22" s="1"/>
  <c r="G44" i="22"/>
  <c r="G52" i="22" s="1"/>
  <c r="AB44" i="22"/>
  <c r="AB52" i="22" s="1"/>
  <c r="AG51" i="22"/>
  <c r="AC51" i="22"/>
  <c r="U51" i="22"/>
  <c r="AI44" i="22"/>
  <c r="AI52" i="22" s="1"/>
  <c r="AE44" i="22"/>
  <c r="AE52" i="22" s="1"/>
  <c r="AA44" i="22"/>
  <c r="AA52" i="22" s="1"/>
  <c r="W44" i="22"/>
  <c r="W52" i="22" s="1"/>
  <c r="R44" i="22"/>
  <c r="R52" i="22" s="1"/>
  <c r="N44" i="22"/>
  <c r="N52" i="22" s="1"/>
  <c r="J44" i="22"/>
  <c r="J52" i="22" s="1"/>
  <c r="F44" i="22"/>
  <c r="F52" i="22" s="1"/>
  <c r="AH44" i="22"/>
  <c r="AH52" i="22" s="1"/>
  <c r="AD44" i="22"/>
  <c r="AD52" i="22" s="1"/>
  <c r="Z44" i="22"/>
  <c r="Z52" i="22" s="1"/>
  <c r="V44" i="22"/>
  <c r="V52" i="22" s="1"/>
  <c r="Q44" i="22"/>
  <c r="Q52" i="22" s="1"/>
  <c r="M44" i="22"/>
  <c r="M52" i="22" s="1"/>
  <c r="I44" i="22"/>
  <c r="I52" i="22" s="1"/>
  <c r="J26" i="2" l="1"/>
  <c r="E41" i="40" s="1"/>
  <c r="AC48" i="22"/>
  <c r="AC52" i="22"/>
  <c r="AG48" i="22"/>
  <c r="AG52" i="22"/>
  <c r="Y48" i="22"/>
  <c r="Y52" i="22"/>
  <c r="H48" i="22"/>
  <c r="H52" i="22"/>
  <c r="P48" i="22"/>
  <c r="P52" i="22"/>
  <c r="L48" i="22"/>
  <c r="L52" i="22"/>
  <c r="U52" i="22"/>
  <c r="J32" i="2"/>
  <c r="E47" i="40" s="1"/>
  <c r="J30" i="2"/>
  <c r="E45" i="40" s="1"/>
  <c r="J31" i="2"/>
  <c r="E46" i="40" s="1"/>
  <c r="I37" i="2"/>
  <c r="J36" i="2"/>
  <c r="E51" i="40" s="1"/>
  <c r="J34" i="2"/>
  <c r="E49" i="40" s="1"/>
  <c r="J29" i="2"/>
  <c r="E44" i="40" s="1"/>
  <c r="J28" i="2"/>
  <c r="E43" i="40" s="1"/>
  <c r="J33" i="2"/>
  <c r="E48" i="40" s="1"/>
  <c r="J27" i="2"/>
  <c r="E42" i="40" s="1"/>
  <c r="J35" i="2"/>
  <c r="E50" i="40" s="1"/>
  <c r="L51" i="22"/>
  <c r="J25" i="2"/>
  <c r="H51" i="22"/>
  <c r="Y51" i="22"/>
  <c r="P51" i="22"/>
  <c r="F48" i="22"/>
  <c r="F51" i="22"/>
  <c r="I51" i="22"/>
  <c r="I48" i="22"/>
  <c r="Z48" i="22"/>
  <c r="Z51" i="22"/>
  <c r="J48" i="22"/>
  <c r="J51" i="22"/>
  <c r="AA48" i="22"/>
  <c r="AA51" i="22"/>
  <c r="K48" i="22"/>
  <c r="K51" i="22"/>
  <c r="AF48" i="22"/>
  <c r="AF51" i="22"/>
  <c r="X48" i="22"/>
  <c r="X51" i="22"/>
  <c r="M48" i="22"/>
  <c r="M51" i="22"/>
  <c r="AD48" i="22"/>
  <c r="AD51" i="22"/>
  <c r="N48" i="22"/>
  <c r="N51" i="22"/>
  <c r="AE48" i="22"/>
  <c r="AE51" i="22"/>
  <c r="O48" i="22"/>
  <c r="O51" i="22"/>
  <c r="V51" i="22"/>
  <c r="V48" i="22"/>
  <c r="W48" i="22"/>
  <c r="W51" i="22"/>
  <c r="G48" i="22"/>
  <c r="G51" i="22"/>
  <c r="Q51" i="22"/>
  <c r="Q48" i="22"/>
  <c r="AH48" i="22"/>
  <c r="AH51" i="22"/>
  <c r="R48" i="22"/>
  <c r="R51" i="22"/>
  <c r="AI48" i="22"/>
  <c r="AI51" i="22"/>
  <c r="AB48" i="22"/>
  <c r="AB51" i="22"/>
  <c r="S48" i="22"/>
  <c r="S51" i="22"/>
  <c r="D39" i="45"/>
  <c r="T48" i="22" l="1"/>
  <c r="C49" i="22"/>
  <c r="J37" i="2"/>
  <c r="E40" i="40"/>
  <c r="D39" i="40" l="1"/>
  <c r="F39" i="40" s="1"/>
  <c r="AK49" i="22"/>
  <c r="B2" i="5"/>
  <c r="C3" i="40"/>
  <c r="B2" i="22" l="1"/>
  <c r="B57" i="41"/>
  <c r="B59" i="41" s="1"/>
  <c r="U10" i="41" s="1"/>
  <c r="B2" i="21"/>
  <c r="B3" i="1"/>
  <c r="B60" i="41" l="1"/>
  <c r="N7" i="41"/>
  <c r="R7" i="41"/>
  <c r="H8" i="41"/>
  <c r="M46" i="1" s="1"/>
  <c r="Q8" i="41"/>
  <c r="U8" i="41"/>
  <c r="P9" i="41"/>
  <c r="T9" i="41"/>
  <c r="O10" i="41"/>
  <c r="S10" i="41"/>
  <c r="O11" i="41"/>
  <c r="S11" i="41"/>
  <c r="N12" i="41"/>
  <c r="R12" i="41"/>
  <c r="H13" i="41"/>
  <c r="M51" i="1" s="1"/>
  <c r="Q13" i="41"/>
  <c r="U13" i="41"/>
  <c r="P14" i="41"/>
  <c r="T14" i="41"/>
  <c r="O15" i="41"/>
  <c r="S15" i="41"/>
  <c r="N16" i="41"/>
  <c r="R16" i="41"/>
  <c r="N17" i="41"/>
  <c r="R17" i="41"/>
  <c r="H18" i="41"/>
  <c r="M56" i="1" s="1"/>
  <c r="Q18" i="41"/>
  <c r="U18" i="41"/>
  <c r="P19" i="41"/>
  <c r="T19" i="41"/>
  <c r="O20" i="41"/>
  <c r="S20" i="41"/>
  <c r="N21" i="41"/>
  <c r="R21" i="41"/>
  <c r="H22" i="41"/>
  <c r="M60" i="1" s="1"/>
  <c r="Q22" i="41"/>
  <c r="U22" i="41"/>
  <c r="Q23" i="41"/>
  <c r="U23" i="41"/>
  <c r="P24" i="41"/>
  <c r="T24" i="41"/>
  <c r="O25" i="41"/>
  <c r="S25" i="41"/>
  <c r="N26" i="41"/>
  <c r="R26" i="41"/>
  <c r="H27" i="41"/>
  <c r="M65" i="1" s="1"/>
  <c r="Q27" i="41"/>
  <c r="U27" i="41"/>
  <c r="P28" i="41"/>
  <c r="T28" i="41"/>
  <c r="P29" i="41"/>
  <c r="T29" i="41"/>
  <c r="O30" i="41"/>
  <c r="S30" i="41"/>
  <c r="N31" i="41"/>
  <c r="R31" i="41"/>
  <c r="H32" i="41"/>
  <c r="M70" i="1" s="1"/>
  <c r="H37" i="41"/>
  <c r="M75" i="1" s="1"/>
  <c r="H42" i="41"/>
  <c r="M80" i="1" s="1"/>
  <c r="H46" i="41"/>
  <c r="M84" i="1" s="1"/>
  <c r="H51" i="41"/>
  <c r="M89" i="1" s="1"/>
  <c r="D80" i="41"/>
  <c r="D84" i="41"/>
  <c r="O7" i="41"/>
  <c r="S7" i="41"/>
  <c r="N8" i="41"/>
  <c r="R8" i="41"/>
  <c r="H9" i="41"/>
  <c r="M47" i="1" s="1"/>
  <c r="Q9" i="41"/>
  <c r="U9" i="41"/>
  <c r="P10" i="41"/>
  <c r="T10" i="41"/>
  <c r="P11" i="41"/>
  <c r="T11" i="41"/>
  <c r="O12" i="41"/>
  <c r="S12" i="41"/>
  <c r="N13" i="41"/>
  <c r="R13" i="41"/>
  <c r="H14" i="41"/>
  <c r="M52" i="1" s="1"/>
  <c r="Q14" i="41"/>
  <c r="U14" i="41"/>
  <c r="P15" i="41"/>
  <c r="T15" i="41"/>
  <c r="O16" i="41"/>
  <c r="S16" i="41"/>
  <c r="O17" i="41"/>
  <c r="S17" i="41"/>
  <c r="N18" i="41"/>
  <c r="R18" i="41"/>
  <c r="H19" i="41"/>
  <c r="M57" i="1" s="1"/>
  <c r="Q19" i="41"/>
  <c r="U19" i="41"/>
  <c r="P20" i="41"/>
  <c r="T20" i="41"/>
  <c r="O21" i="41"/>
  <c r="S21" i="41"/>
  <c r="N22" i="41"/>
  <c r="R22" i="41"/>
  <c r="N23" i="41"/>
  <c r="R23" i="41"/>
  <c r="H24" i="41"/>
  <c r="M62" i="1" s="1"/>
  <c r="Q24" i="41"/>
  <c r="U24" i="41"/>
  <c r="P25" i="41"/>
  <c r="T25" i="41"/>
  <c r="O26" i="41"/>
  <c r="S26" i="41"/>
  <c r="N27" i="41"/>
  <c r="R27" i="41"/>
  <c r="H28" i="41"/>
  <c r="M66" i="1" s="1"/>
  <c r="Q28" i="41"/>
  <c r="U28" i="41"/>
  <c r="Q29" i="41"/>
  <c r="U29" i="41"/>
  <c r="P30" i="41"/>
  <c r="T30" i="41"/>
  <c r="O31" i="41"/>
  <c r="S31" i="41"/>
  <c r="H33" i="41"/>
  <c r="M71" i="1" s="1"/>
  <c r="H38" i="41"/>
  <c r="M76" i="1" s="1"/>
  <c r="H43" i="41"/>
  <c r="M81" i="1" s="1"/>
  <c r="H48" i="41"/>
  <c r="M86" i="1" s="1"/>
  <c r="H52" i="41"/>
  <c r="M90" i="1" s="1"/>
  <c r="D81" i="41"/>
  <c r="D85" i="41"/>
  <c r="L44" i="1"/>
  <c r="L46" i="1"/>
  <c r="L48" i="1"/>
  <c r="L51" i="1"/>
  <c r="L53" i="1"/>
  <c r="L56" i="1"/>
  <c r="L58" i="1"/>
  <c r="L60" i="1"/>
  <c r="L63" i="1"/>
  <c r="L65" i="1"/>
  <c r="L68" i="1"/>
  <c r="H6" i="41"/>
  <c r="P7" i="41"/>
  <c r="T7" i="41"/>
  <c r="O8" i="41"/>
  <c r="S8" i="41"/>
  <c r="N9" i="41"/>
  <c r="R9" i="41"/>
  <c r="H10" i="41"/>
  <c r="M48" i="1" s="1"/>
  <c r="Q10" i="41"/>
  <c r="Q11" i="41"/>
  <c r="U11" i="41"/>
  <c r="P12" i="41"/>
  <c r="T12" i="41"/>
  <c r="O13" i="41"/>
  <c r="S13" i="41"/>
  <c r="N14" i="41"/>
  <c r="R14" i="41"/>
  <c r="H15" i="41"/>
  <c r="M53" i="1" s="1"/>
  <c r="Q15" i="41"/>
  <c r="U15" i="41"/>
  <c r="P16" i="41"/>
  <c r="T16" i="41"/>
  <c r="P17" i="41"/>
  <c r="T17" i="41"/>
  <c r="O18" i="41"/>
  <c r="S18" i="41"/>
  <c r="N19" i="41"/>
  <c r="R19" i="41"/>
  <c r="H20" i="41"/>
  <c r="M58" i="1" s="1"/>
  <c r="Q20" i="41"/>
  <c r="U20" i="41"/>
  <c r="P21" i="41"/>
  <c r="T21" i="41"/>
  <c r="O22" i="41"/>
  <c r="S22" i="41"/>
  <c r="O23" i="41"/>
  <c r="S23" i="41"/>
  <c r="N24" i="41"/>
  <c r="R24" i="41"/>
  <c r="H25" i="41"/>
  <c r="M63" i="1" s="1"/>
  <c r="Q25" i="41"/>
  <c r="U25" i="41"/>
  <c r="P26" i="41"/>
  <c r="T26" i="41"/>
  <c r="O27" i="41"/>
  <c r="S27" i="41"/>
  <c r="N28" i="41"/>
  <c r="R28" i="41"/>
  <c r="N29" i="41"/>
  <c r="R29" i="41"/>
  <c r="H30" i="41"/>
  <c r="M68" i="1" s="1"/>
  <c r="Q30" i="41"/>
  <c r="U30" i="41"/>
  <c r="P31" i="41"/>
  <c r="T31" i="41"/>
  <c r="H34" i="41"/>
  <c r="M72" i="1" s="1"/>
  <c r="H39" i="41"/>
  <c r="M77" i="1" s="1"/>
  <c r="H44" i="41"/>
  <c r="M82" i="1" s="1"/>
  <c r="H49" i="41"/>
  <c r="M87" i="1" s="1"/>
  <c r="D65" i="41"/>
  <c r="D82" i="41"/>
  <c r="D86" i="41"/>
  <c r="U7" i="41"/>
  <c r="S9" i="41"/>
  <c r="R11" i="41"/>
  <c r="P13" i="41"/>
  <c r="N15" i="41"/>
  <c r="U16" i="41"/>
  <c r="T18" i="41"/>
  <c r="R20" i="41"/>
  <c r="P22" i="41"/>
  <c r="O24" i="41"/>
  <c r="H26" i="41"/>
  <c r="M64" i="1" s="1"/>
  <c r="T27" i="41"/>
  <c r="S29" i="41"/>
  <c r="Q31" i="41"/>
  <c r="H45" i="41"/>
  <c r="M83" i="1" s="1"/>
  <c r="E72" i="41"/>
  <c r="F72" i="41" s="1"/>
  <c r="L47" i="1"/>
  <c r="L57" i="1"/>
  <c r="L71" i="1"/>
  <c r="L75" i="1"/>
  <c r="L81" i="1"/>
  <c r="L84" i="1"/>
  <c r="L87" i="1"/>
  <c r="L89" i="1"/>
  <c r="L76" i="1"/>
  <c r="L88" i="1"/>
  <c r="Q7" i="41"/>
  <c r="Q16" i="41"/>
  <c r="U21" i="41"/>
  <c r="P27" i="41"/>
  <c r="H31" i="41"/>
  <c r="M69" i="1" s="1"/>
  <c r="D83" i="41"/>
  <c r="L62" i="1"/>
  <c r="L74" i="1"/>
  <c r="P8" i="41"/>
  <c r="N10" i="41"/>
  <c r="H12" i="41"/>
  <c r="M50" i="1" s="1"/>
  <c r="T13" i="41"/>
  <c r="R15" i="41"/>
  <c r="Q17" i="41"/>
  <c r="O19" i="41"/>
  <c r="H21" i="41"/>
  <c r="M59" i="1" s="1"/>
  <c r="T22" i="41"/>
  <c r="S24" i="41"/>
  <c r="Q26" i="41"/>
  <c r="O28" i="41"/>
  <c r="N30" i="41"/>
  <c r="U31" i="41"/>
  <c r="H50" i="41"/>
  <c r="M88" i="1" s="1"/>
  <c r="E74" i="41"/>
  <c r="F74" i="41" s="1"/>
  <c r="L50" i="1"/>
  <c r="L59" i="1"/>
  <c r="L64" i="1"/>
  <c r="L69" i="1"/>
  <c r="L72" i="1"/>
  <c r="L78" i="1"/>
  <c r="L82" i="1"/>
  <c r="L52" i="1"/>
  <c r="L70" i="1"/>
  <c r="L80" i="1"/>
  <c r="L90" i="1"/>
  <c r="O9" i="41"/>
  <c r="S14" i="41"/>
  <c r="N20" i="41"/>
  <c r="R25" i="41"/>
  <c r="H40" i="41"/>
  <c r="M78" i="1" s="1"/>
  <c r="L45" i="1"/>
  <c r="L66" i="1"/>
  <c r="L83" i="1"/>
  <c r="H7" i="41"/>
  <c r="M45" i="1" s="1"/>
  <c r="T8" i="41"/>
  <c r="R10" i="41"/>
  <c r="Q12" i="41"/>
  <c r="O14" i="41"/>
  <c r="H16" i="41"/>
  <c r="M54" i="1" s="1"/>
  <c r="U17" i="41"/>
  <c r="S19" i="41"/>
  <c r="Q21" i="41"/>
  <c r="P23" i="41"/>
  <c r="N25" i="41"/>
  <c r="U26" i="41"/>
  <c r="S28" i="41"/>
  <c r="R30" i="41"/>
  <c r="H36" i="41"/>
  <c r="M74" i="1" s="1"/>
  <c r="D79" i="41"/>
  <c r="L86" i="1"/>
  <c r="N11" i="41"/>
  <c r="U12" i="41"/>
  <c r="P18" i="41"/>
  <c r="T23" i="41"/>
  <c r="O29" i="41"/>
  <c r="E70" i="41"/>
  <c r="F70" i="41" s="1"/>
  <c r="L54" i="1"/>
  <c r="L77" i="1"/>
  <c r="E71" i="41" l="1"/>
  <c r="F71" i="41" s="1"/>
  <c r="H53" i="41"/>
  <c r="M91" i="1" s="1"/>
  <c r="M44" i="1"/>
  <c r="E75" i="41"/>
  <c r="F75" i="41" s="1"/>
  <c r="E73" i="41"/>
  <c r="F73" i="4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Flanagan, Richard (HCR)</author>
  </authors>
  <commentList>
    <comment ref="D29" authorId="0" shapeId="0" xr:uid="{0587AA1E-FBD3-4570-98DB-A9613A77CB76}">
      <text>
        <r>
          <rPr>
            <sz val="9"/>
            <color indexed="81"/>
            <rFont val="Tahoma"/>
            <family val="2"/>
          </rPr>
          <t xml:space="preserve">Enter the all-in interest rate, inclusive of any loan servicing fees
</t>
        </r>
      </text>
    </comment>
    <comment ref="D32" authorId="0" shapeId="0" xr:uid="{64941C95-6B81-4397-86F6-BE034464A293}">
      <text>
        <r>
          <rPr>
            <sz val="9"/>
            <color indexed="81"/>
            <rFont val="Tahoma"/>
            <family val="2"/>
          </rPr>
          <t>Enter the number of months the project will be under construction.</t>
        </r>
      </text>
    </comment>
    <comment ref="D33" authorId="0" shapeId="0" xr:uid="{C9E3CDB1-5022-48D7-B81F-0FC2CA2B4711}">
      <text>
        <r>
          <rPr>
            <sz val="9"/>
            <color indexed="81"/>
            <rFont val="Tahoma"/>
            <family val="2"/>
          </rPr>
          <t xml:space="preserve">Enter the number of months from the time of  construction completion to conversion to permanent financing. 
</t>
        </r>
      </text>
    </comment>
    <comment ref="D34" authorId="0" shapeId="0" xr:uid="{9AA98456-5387-47E1-AA35-E354A5C7FCA4}">
      <text>
        <r>
          <rPr>
            <sz val="9"/>
            <color indexed="81"/>
            <rFont val="Tahoma"/>
            <family val="2"/>
          </rPr>
          <t>This will reflect the number of months that the construction loan will be outstanding.</t>
        </r>
      </text>
    </comment>
    <comment ref="D36" authorId="0" shapeId="0" xr:uid="{A0CD090E-30DD-4E79-B1D9-F40313ACBCF0}">
      <text>
        <r>
          <rPr>
            <sz val="9"/>
            <color indexed="81"/>
            <rFont val="Tahoma"/>
            <family val="2"/>
          </rPr>
          <t xml:space="preserve">Enter the estimated % of the construction loan that will be outstanding on average for term of the loan.
</t>
        </r>
      </text>
    </comment>
    <comment ref="D40" authorId="0" shapeId="0" xr:uid="{3CEAF4E5-1367-424E-B3EF-D5FF2ACE8CBA}">
      <text>
        <r>
          <rPr>
            <sz val="9"/>
            <color indexed="81"/>
            <rFont val="Tahoma"/>
            <family val="2"/>
          </rPr>
          <t xml:space="preserve"> Enter the amount of construction interest attributable to the residential project
</t>
        </r>
      </text>
    </comment>
    <comment ref="D41" authorId="0" shapeId="0" xr:uid="{4590D3DA-C1CF-43FE-BBD0-A11F12BD28D0}">
      <text>
        <r>
          <rPr>
            <sz val="9"/>
            <color indexed="81"/>
            <rFont val="Tahoma"/>
            <family val="2"/>
          </rPr>
          <t xml:space="preserve"> Enter the amount of construction interest attributable to the CSF</t>
        </r>
      </text>
    </comment>
    <comment ref="D42" authorId="0" shapeId="0" xr:uid="{E51BA5DB-0DEB-4489-92E6-DA40E1A2D9C9}">
      <text>
        <r>
          <rPr>
            <sz val="9"/>
            <color rgb="FF000000"/>
            <rFont val="Tahoma"/>
            <family val="2"/>
          </rPr>
          <t xml:space="preserve"> Enter the amount of construction interest attributable to the other non-residential space.
</t>
        </r>
      </text>
    </comment>
    <comment ref="D46" authorId="0" shapeId="0" xr:uid="{0292667F-9D20-4037-A0A0-71EAF8CF2A8F}">
      <text>
        <r>
          <rPr>
            <sz val="9"/>
            <color rgb="FF000000"/>
            <rFont val="Tahoma"/>
            <family val="2"/>
          </rPr>
          <t xml:space="preserve">Enter the amount of the permanent loan
</t>
        </r>
      </text>
    </comment>
    <comment ref="D47" authorId="0" shapeId="0" xr:uid="{C31ACB21-BDB8-446D-ABAD-E0C152067875}">
      <text>
        <r>
          <rPr>
            <sz val="9"/>
            <color rgb="FF000000"/>
            <rFont val="Tahoma"/>
            <family val="2"/>
          </rPr>
          <t xml:space="preserve">Enter the all-in interest rate, inclusive of any loan servicing fees
</t>
        </r>
      </text>
    </comment>
    <comment ref="D48" authorId="0" shapeId="0" xr:uid="{A02BF91F-6D50-4410-8361-4D859A4CCDEE}">
      <text>
        <r>
          <rPr>
            <sz val="9"/>
            <color rgb="FF000000"/>
            <rFont val="Tahoma"/>
            <family val="2"/>
          </rPr>
          <t xml:space="preserve">Enter the length of the loan tern in years
</t>
        </r>
      </text>
    </comment>
    <comment ref="D51" authorId="0" shapeId="0" xr:uid="{900DB0EF-AC9B-4164-A45C-2E1D06A903F7}">
      <text>
        <r>
          <rPr>
            <sz val="9"/>
            <color indexed="81"/>
            <rFont val="Tahoma"/>
            <family val="2"/>
          </rPr>
          <t>Enter the DSCR required on the permanent loan</t>
        </r>
      </text>
    </comment>
    <comment ref="D52" authorId="0" shapeId="0" xr:uid="{9E473FE0-F6F8-4A57-8B2F-18D5CD2FE92D}">
      <text>
        <r>
          <rPr>
            <sz val="9"/>
            <color indexed="81"/>
            <rFont val="Tahoma"/>
            <family val="2"/>
          </rPr>
          <t xml:space="preserve">Enter  the I:E ratio required on the permanent loan
</t>
        </r>
      </text>
    </comment>
    <comment ref="D59" authorId="0" shapeId="0" xr:uid="{C746C451-9D72-43E7-A614-9B8BA478F5ED}">
      <text>
        <r>
          <rPr>
            <sz val="9"/>
            <color rgb="FF000000"/>
            <rFont val="Tahoma"/>
            <family val="2"/>
          </rPr>
          <t xml:space="preserve">Select interest only for loans with all or a portion of the interest payable annually  OR select  accrued interest for loans with no annual payments required.
</t>
        </r>
      </text>
    </comment>
    <comment ref="D60" authorId="0" shapeId="0" xr:uid="{E2434B29-1CD8-456C-BE3E-9189B9EB9C2C}">
      <text>
        <r>
          <rPr>
            <sz val="9"/>
            <color rgb="FF000000"/>
            <rFont val="Tahoma"/>
            <family val="2"/>
          </rPr>
          <t xml:space="preserve">If all, or a portion of the interest will accrue annually, enter the accrual rate.  If all of the interest is payable annually ,leave blank
</t>
        </r>
        <r>
          <rPr>
            <sz val="9"/>
            <color rgb="FF000000"/>
            <rFont val="Tahoma"/>
            <family val="2"/>
          </rPr>
          <t xml:space="preserve">
</t>
        </r>
        <r>
          <rPr>
            <sz val="9"/>
            <color rgb="FF000000"/>
            <rFont val="Tahoma"/>
            <family val="2"/>
          </rPr>
          <t xml:space="preserve">All HCR subsidy loans are .50% interest hard payments annually.
</t>
        </r>
      </text>
    </comment>
    <comment ref="D61" authorId="0" shapeId="0" xr:uid="{B0A4F553-30AF-4D7C-A92B-C5F1046ABEBA}">
      <text>
        <r>
          <rPr>
            <sz val="9"/>
            <color indexed="81"/>
            <rFont val="Tahoma"/>
            <family val="2"/>
          </rPr>
          <t xml:space="preserve">Indicate the interest rate payable annually
</t>
        </r>
      </text>
    </comment>
    <comment ref="D69" authorId="0" shapeId="0" xr:uid="{26E2DCA6-02F6-4319-BA3A-80AFD7585902}">
      <text>
        <r>
          <rPr>
            <sz val="9"/>
            <color indexed="81"/>
            <rFont val="Tahoma"/>
            <family val="2"/>
          </rPr>
          <t xml:space="preserve">Select interest only for loans with all or a portion of the interest payable annually  OR select  accrued interest for loans with no annual payments required.
</t>
        </r>
      </text>
    </comment>
    <comment ref="D70" authorId="0" shapeId="0" xr:uid="{EB584023-A3CD-4129-8A57-CB64A7529C9C}">
      <text>
        <r>
          <rPr>
            <sz val="9"/>
            <color rgb="FF000000"/>
            <rFont val="Tahoma"/>
            <family val="2"/>
          </rPr>
          <t xml:space="preserve">If all, or a portion of the interest will accrue annually, enter the accrual rate.  If all of the interest is payable annually ,leave blank
</t>
        </r>
        <r>
          <rPr>
            <sz val="9"/>
            <color rgb="FF000000"/>
            <rFont val="Tahoma"/>
            <family val="2"/>
          </rPr>
          <t xml:space="preserve">
</t>
        </r>
        <r>
          <rPr>
            <sz val="9"/>
            <color rgb="FF000000"/>
            <rFont val="Tahoma"/>
            <family val="2"/>
          </rPr>
          <t xml:space="preserve">All HCR subsidy loans are .50% interest hard payments annually.
</t>
        </r>
      </text>
    </comment>
    <comment ref="D71" authorId="0" shapeId="0" xr:uid="{86DD32F1-B863-4C84-ABEF-AF9C29CAE1CF}">
      <text>
        <r>
          <rPr>
            <sz val="9"/>
            <color indexed="81"/>
            <rFont val="Tahoma"/>
            <family val="2"/>
          </rPr>
          <t xml:space="preserve">Indicate the interest rate payable annually
</t>
        </r>
      </text>
    </comment>
    <comment ref="D79" authorId="0" shapeId="0" xr:uid="{95FE2291-D864-493F-A010-8BE6CA974C79}">
      <text>
        <r>
          <rPr>
            <sz val="9"/>
            <color indexed="81"/>
            <rFont val="Tahoma"/>
            <family val="2"/>
          </rPr>
          <t xml:space="preserve">Select interest only for loans with all or a portion of the interest payable annually  OR select  accrued interest for loans with no annual payments required.
</t>
        </r>
      </text>
    </comment>
    <comment ref="D80" authorId="0" shapeId="0" xr:uid="{1E66B712-8AD2-49CA-B216-62508585BB86}">
      <text>
        <r>
          <rPr>
            <sz val="9"/>
            <color indexed="81"/>
            <rFont val="Tahoma"/>
            <family val="2"/>
          </rPr>
          <t xml:space="preserve">If all, or a portion of the interest will accrue annually, enter the accrual rate.  If all of the interest is payable annually ,leave blank
All HCR subsidy loans are .50% interest hard payments annually.
</t>
        </r>
      </text>
    </comment>
    <comment ref="D81" authorId="0" shapeId="0" xr:uid="{6660FD7A-17E3-4051-B2DD-38C703709CE6}">
      <text>
        <r>
          <rPr>
            <sz val="9"/>
            <color indexed="81"/>
            <rFont val="Tahoma"/>
            <family val="2"/>
          </rPr>
          <t xml:space="preserve">Indicate the interest rate payable annually
</t>
        </r>
      </text>
    </comment>
    <comment ref="D89" authorId="0" shapeId="0" xr:uid="{E6C4FC3D-C70E-4274-9B89-7F0192A5CF09}">
      <text>
        <r>
          <rPr>
            <sz val="9"/>
            <color indexed="81"/>
            <rFont val="Tahoma"/>
            <family val="2"/>
          </rPr>
          <t xml:space="preserve">Select interest only for loans with all or a portion of the interest payable annually  OR select  accrued interest for loans with no annual payments required.
</t>
        </r>
      </text>
    </comment>
    <comment ref="D90" authorId="0" shapeId="0" xr:uid="{7075B428-0161-4FCF-A79E-04463DB0D15C}">
      <text>
        <r>
          <rPr>
            <sz val="9"/>
            <color indexed="81"/>
            <rFont val="Tahoma"/>
            <family val="2"/>
          </rPr>
          <t xml:space="preserve">If all, or a portion of the interest will accrue annually, enter the accrual rate.  If all of the interest is payable annually ,leave blank
All HCR subsidy loans are .50% interest hard payments annually.
</t>
        </r>
      </text>
    </comment>
    <comment ref="D91" authorId="0" shapeId="0" xr:uid="{B71E3CC3-7D69-4562-8986-8BDDC10C7ED6}">
      <text>
        <r>
          <rPr>
            <sz val="9"/>
            <color indexed="81"/>
            <rFont val="Tahoma"/>
            <family val="2"/>
          </rPr>
          <t xml:space="preserve">Indicate the interest rate payable annually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Flanagan, Richard (HCR)</author>
  </authors>
  <commentList>
    <comment ref="G3" authorId="0" shapeId="0" xr:uid="{B9348D47-CE80-4D27-B2D9-EB0153188B2B}">
      <text>
        <r>
          <rPr>
            <sz val="9"/>
            <color rgb="FF000000"/>
            <rFont val="Tahoma"/>
            <family val="2"/>
          </rPr>
          <t>Enter the annual amount of 9% LIHTC requested. DO NOT enter the ten-year amount of credit or anticipated equity proceeds.</t>
        </r>
      </text>
    </comment>
    <comment ref="I3" authorId="0" shapeId="0" xr:uid="{E4AA80EA-C1D0-4A71-9C5C-1C547A1ADCEA}">
      <text>
        <r>
          <rPr>
            <sz val="9"/>
            <color indexed="81"/>
            <rFont val="Tahoma"/>
            <family val="2"/>
          </rPr>
          <t xml:space="preserve">Enter the LIHTC credit price per $1
</t>
        </r>
      </text>
    </comment>
    <comment ref="G5" authorId="0" shapeId="0" xr:uid="{E7F1F7F1-C7E8-4E0F-97CA-567159AB5CA2}">
      <text>
        <r>
          <rPr>
            <sz val="9"/>
            <color indexed="81"/>
            <rFont val="Tahoma"/>
            <family val="2"/>
          </rPr>
          <t xml:space="preserve">Enter the annual amount of SLIHC requested. DO NOT enter the ten-year amount of credit or anticipated equity proceeds.
</t>
        </r>
      </text>
    </comment>
    <comment ref="I5" authorId="0" shapeId="0" xr:uid="{5429D608-F3E1-41C1-AEF3-29AB33C14609}">
      <text>
        <r>
          <rPr>
            <sz val="9"/>
            <color indexed="81"/>
            <rFont val="Tahoma"/>
            <family val="2"/>
          </rPr>
          <t xml:space="preserve">Enter the SLIHTC credit price per $1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Flanagan, Richard (HCR)</author>
  </authors>
  <commentList>
    <comment ref="F9" authorId="0" shapeId="0" xr:uid="{387914F6-B307-4D8A-A693-C935A7F22D13}">
      <text>
        <r>
          <rPr>
            <sz val="11"/>
            <color indexed="81"/>
            <rFont val="Calibri"/>
            <family val="2"/>
            <scheme val="minor"/>
          </rPr>
          <t>Enter the average net square footage of each dwelling unit size.  The rentable square footage should be indicated here.</t>
        </r>
        <r>
          <rPr>
            <b/>
            <sz val="9"/>
            <color indexed="81"/>
            <rFont val="Tahoma"/>
            <family val="2"/>
          </rPr>
          <t xml:space="preserve">
</t>
        </r>
      </text>
    </comment>
    <comment ref="F10" authorId="0" shapeId="0" xr:uid="{7D43A5B0-1E51-46FC-A12C-6596FCE4BCFD}">
      <text>
        <r>
          <rPr>
            <sz val="11"/>
            <color indexed="81"/>
            <rFont val="Calibri"/>
            <family val="2"/>
            <scheme val="minor"/>
          </rPr>
          <t>Enter the average net square footage of each dwelling unit size.  The rentable square footage should be indicated here.</t>
        </r>
        <r>
          <rPr>
            <b/>
            <sz val="9"/>
            <color indexed="81"/>
            <rFont val="Tahoma"/>
            <family val="2"/>
          </rPr>
          <t xml:space="preserve">
</t>
        </r>
      </text>
    </comment>
    <comment ref="F11" authorId="0" shapeId="0" xr:uid="{D87046BE-03A9-4E3B-A21E-24919626FA3D}">
      <text>
        <r>
          <rPr>
            <sz val="11"/>
            <color indexed="81"/>
            <rFont val="Calibri"/>
            <family val="2"/>
            <scheme val="minor"/>
          </rPr>
          <t>Enter the average net square footage of each dwelling unit size.  The rentable square footage should be indicated here.</t>
        </r>
        <r>
          <rPr>
            <b/>
            <sz val="9"/>
            <color indexed="81"/>
            <rFont val="Tahoma"/>
            <family val="2"/>
          </rPr>
          <t xml:space="preserve">
</t>
        </r>
      </text>
    </comment>
    <comment ref="F12" authorId="0" shapeId="0" xr:uid="{FD9EA814-A9EF-4C95-81E0-4E00EA802466}">
      <text>
        <r>
          <rPr>
            <sz val="11"/>
            <color indexed="81"/>
            <rFont val="Calibri"/>
            <family val="2"/>
            <scheme val="minor"/>
          </rPr>
          <t>Enter the average net square footage of each dwelling unit size.  The rentable square footage should be indicated here.</t>
        </r>
        <r>
          <rPr>
            <b/>
            <sz val="9"/>
            <color indexed="81"/>
            <rFont val="Tahoma"/>
            <family val="2"/>
          </rPr>
          <t xml:space="preserve">
</t>
        </r>
      </text>
    </comment>
    <comment ref="F13" authorId="0" shapeId="0" xr:uid="{77463F8A-C38F-457E-831C-C5FCADB0BC05}">
      <text>
        <r>
          <rPr>
            <sz val="11"/>
            <color indexed="81"/>
            <rFont val="Calibri"/>
            <family val="2"/>
            <scheme val="minor"/>
          </rPr>
          <t>Enter the average net square footage of each dwelling unit size.  The rentable square footage should be indicated here.</t>
        </r>
        <r>
          <rPr>
            <b/>
            <sz val="9"/>
            <color indexed="81"/>
            <rFont val="Tahoma"/>
            <family val="2"/>
          </rPr>
          <t xml:space="preserve">
</t>
        </r>
      </text>
    </comment>
    <comment ref="F15" authorId="0" shapeId="0" xr:uid="{D82E72B7-1785-4D9F-935D-8BF059D280A1}">
      <text>
        <r>
          <rPr>
            <sz val="11"/>
            <color indexed="81"/>
            <rFont val="Calibri"/>
            <family val="2"/>
            <scheme val="minor"/>
          </rPr>
          <t>Enter the average net square footage of each dwelling unit size.  The rentable square footage should be indicated here.</t>
        </r>
        <r>
          <rPr>
            <b/>
            <sz val="9"/>
            <color indexed="81"/>
            <rFont val="Tahoma"/>
            <family val="2"/>
          </rPr>
          <t xml:space="preserve">
</t>
        </r>
      </text>
    </comment>
    <comment ref="C20" authorId="0" shapeId="0" xr:uid="{188AFE4C-085F-47B2-BC80-E683AF87B391}">
      <text>
        <r>
          <rPr>
            <sz val="11"/>
            <color rgb="FF000000"/>
            <rFont val="Calibri"/>
            <family val="2"/>
          </rPr>
          <t>Enter the gross square footage of the indicated use.</t>
        </r>
      </text>
    </comment>
    <comment ref="E20" authorId="0" shapeId="0" xr:uid="{511033F1-CD6F-4F25-BC5A-B76A1B76C0E3}">
      <text>
        <r>
          <rPr>
            <sz val="11"/>
            <color rgb="FF000000"/>
            <rFont val="Calibri"/>
            <family val="2"/>
          </rPr>
          <t>Enter the rentable net square footage for the indicated use.</t>
        </r>
        <r>
          <rPr>
            <b/>
            <sz val="11"/>
            <color rgb="FF000000"/>
            <rFont val="Calibri"/>
            <family val="2"/>
          </rPr>
          <t xml:space="preserve"> </t>
        </r>
      </text>
    </comment>
    <comment ref="C21" authorId="0" shapeId="0" xr:uid="{102BC608-98EE-4B74-8697-9DDBC803F308}">
      <text>
        <r>
          <rPr>
            <sz val="11"/>
            <color rgb="FF000000"/>
            <rFont val="Calibri"/>
            <family val="2"/>
          </rPr>
          <t>Enter the gross square footage of the indicated use.</t>
        </r>
      </text>
    </comment>
    <comment ref="E21" authorId="0" shapeId="0" xr:uid="{2C7D6E12-950A-44D8-945B-2245545254FC}">
      <text>
        <r>
          <rPr>
            <sz val="11"/>
            <color rgb="FF000000"/>
            <rFont val="Calibri"/>
            <family val="2"/>
          </rPr>
          <t>Enter the rentable net square footage for the indicated use.</t>
        </r>
        <r>
          <rPr>
            <b/>
            <sz val="11"/>
            <color rgb="FF000000"/>
            <rFont val="Calibri"/>
            <family val="2"/>
          </rPr>
          <t xml:space="preserve"> </t>
        </r>
      </text>
    </comment>
    <comment ref="C22" authorId="0" shapeId="0" xr:uid="{222113B0-ABA7-42D0-A070-F3FDC0131726}">
      <text>
        <r>
          <rPr>
            <sz val="11"/>
            <color rgb="FF000000"/>
            <rFont val="Calibri"/>
            <family val="2"/>
          </rPr>
          <t>Enter the gross square footage of the indicated use.</t>
        </r>
      </text>
    </comment>
    <comment ref="E22" authorId="0" shapeId="0" xr:uid="{8535BF9B-E051-4CDE-9C76-681C64D77FE7}">
      <text>
        <r>
          <rPr>
            <sz val="11"/>
            <color rgb="FF000000"/>
            <rFont val="Calibri"/>
            <family val="2"/>
          </rPr>
          <t>Enter the rentable net square footage for the indicated use.</t>
        </r>
        <r>
          <rPr>
            <b/>
            <sz val="11"/>
            <color rgb="FF000000"/>
            <rFont val="Calibri"/>
            <family val="2"/>
          </rPr>
          <t xml:space="preserve"> </t>
        </r>
      </text>
    </comment>
    <comment ref="B24" authorId="0" shapeId="0" xr:uid="{07A85BDC-27E0-4C78-AC9C-EB5429E2DB12}">
      <text>
        <r>
          <rPr>
            <b/>
            <sz val="11"/>
            <color rgb="FF000000"/>
            <rFont val="Calibri"/>
            <family val="2"/>
          </rPr>
          <t>Lot SF:</t>
        </r>
        <r>
          <rPr>
            <sz val="11"/>
            <color rgb="FF000000"/>
            <rFont val="Calibri"/>
            <family val="2"/>
          </rPr>
          <t xml:space="preserve">
</t>
        </r>
        <r>
          <rPr>
            <sz val="11"/>
            <color rgb="FF000000"/>
            <rFont val="Calibri"/>
            <family val="2"/>
          </rPr>
          <t>Enter lot size. For scattered site projects enter total for all lots.</t>
        </r>
      </text>
    </comment>
    <comment ref="C26" authorId="0" shapeId="0" xr:uid="{052B6275-6406-4556-BB3C-4DEADAF2DA07}">
      <text>
        <r>
          <rPr>
            <b/>
            <sz val="9"/>
            <color indexed="81"/>
            <rFont val="Tahoma"/>
            <family val="2"/>
          </rPr>
          <t>Specify Source of Debt Service Subsidy</t>
        </r>
      </text>
    </comment>
    <comment ref="E26" authorId="0" shapeId="0" xr:uid="{578C6E58-3B30-4A8A-9010-2406E9004756}">
      <text>
        <r>
          <rPr>
            <sz val="11"/>
            <color rgb="FF000000"/>
            <rFont val="Calibri"/>
            <family val="2"/>
          </rPr>
          <t>Enter the rentable net square footage for the indicated use.</t>
        </r>
        <r>
          <rPr>
            <b/>
            <sz val="11"/>
            <color rgb="FF000000"/>
            <rFont val="Calibri"/>
            <family val="2"/>
          </rPr>
          <t xml:space="preserve"> </t>
        </r>
      </text>
    </comment>
    <comment ref="F33" authorId="0" shapeId="0" xr:uid="{9A45A841-8FA8-4427-B27E-E403F37B04E7}">
      <text>
        <r>
          <rPr>
            <sz val="11"/>
            <color rgb="FF000000"/>
            <rFont val="Calibri"/>
            <family val="2"/>
          </rPr>
          <t xml:space="preserve">CIF Used for CSF:
</t>
        </r>
        <r>
          <rPr>
            <sz val="11"/>
            <color rgb="FF000000"/>
            <rFont val="Calibri"/>
            <family val="2"/>
          </rPr>
          <t>Enter the amount of  CIF funds, if any, that will be used for this space.</t>
        </r>
      </text>
    </comment>
    <comment ref="F35" authorId="0" shapeId="0" xr:uid="{21C8412B-B25D-4E88-97EE-CAB58002EF89}">
      <text>
        <r>
          <rPr>
            <sz val="11"/>
            <color indexed="81"/>
            <rFont val="Calibri"/>
            <family val="2"/>
            <scheme val="minor"/>
          </rPr>
          <t>CIF Used for Other non-Res: Enter the amount of CIF funds that will be used for this space , if any.</t>
        </r>
      </text>
    </comment>
    <comment ref="F43" authorId="0" shapeId="0" xr:uid="{2A4B96A9-276F-43BB-90E5-FC0E0FBE7A75}">
      <text>
        <r>
          <rPr>
            <b/>
            <sz val="11"/>
            <color rgb="FF000000"/>
            <rFont val="Calibri"/>
            <family val="2"/>
          </rPr>
          <t xml:space="preserve">HCR Subsidy: </t>
        </r>
        <r>
          <rPr>
            <sz val="11"/>
            <color rgb="FF000000"/>
            <rFont val="Calibri"/>
            <family val="2"/>
          </rPr>
          <t xml:space="preserve">
List HCR subsidy source(s) units will be regulated by. Use the following abbreviations:  HTF, CIF, SHOP, PHP, MIHP, FHTF, HOME
 </t>
        </r>
      </text>
    </comment>
    <comment ref="C44" authorId="0" shapeId="0" xr:uid="{8151F756-0243-4F4F-B847-AFA7A87DD732}">
      <text>
        <r>
          <rPr>
            <b/>
            <sz val="11"/>
            <color rgb="FF000000"/>
            <rFont val="Calibri"/>
            <family val="2"/>
          </rPr>
          <t xml:space="preserve">AMI limit: </t>
        </r>
        <r>
          <rPr>
            <sz val="11"/>
            <color rgb="FF000000"/>
            <rFont val="Calibri"/>
            <family val="2"/>
          </rPr>
          <t xml:space="preserve">
Enter the maximum AMI %  that the unit will be regulated at or below
</t>
        </r>
      </text>
    </comment>
    <comment ref="F44" authorId="0" shapeId="0" xr:uid="{3C0E9E35-13AE-44FC-B7FA-A98A1A368E88}">
      <text>
        <r>
          <rPr>
            <b/>
            <sz val="11"/>
            <color rgb="FF000000"/>
            <rFont val="Calibri"/>
            <family val="2"/>
          </rPr>
          <t xml:space="preserve">HCR Subsidy: </t>
        </r>
        <r>
          <rPr>
            <sz val="11"/>
            <color rgb="FF000000"/>
            <rFont val="Calibri"/>
            <family val="2"/>
          </rPr>
          <t xml:space="preserve">
List HCR subsidy source(s) units will be regulated by. Use the following abbreviations:  HTF, CIF, SHOP, PHP, MIHP, FHTF
 </t>
        </r>
      </text>
    </comment>
    <comment ref="C50" authorId="0" shapeId="0" xr:uid="{56DF94F1-27C5-4A25-B80A-F09D36BD30BE}">
      <text>
        <r>
          <rPr>
            <b/>
            <sz val="11"/>
            <color rgb="FF000000"/>
            <rFont val="Calibri"/>
            <family val="2"/>
          </rPr>
          <t xml:space="preserve">AMI limit: </t>
        </r>
        <r>
          <rPr>
            <sz val="11"/>
            <color rgb="FF000000"/>
            <rFont val="Calibri"/>
            <family val="2"/>
          </rPr>
          <t xml:space="preserve">
Enter the maximum AMI %  that the unit will be regulated at or below
</t>
        </r>
      </text>
    </comment>
    <comment ref="F50" authorId="0" shapeId="0" xr:uid="{9F812A59-D470-41D6-AC16-A537C52140C2}">
      <text>
        <r>
          <rPr>
            <b/>
            <sz val="11"/>
            <color rgb="FF000000"/>
            <rFont val="Calibri"/>
            <family val="2"/>
          </rPr>
          <t xml:space="preserve">HCR Subsidy: </t>
        </r>
        <r>
          <rPr>
            <sz val="11"/>
            <color rgb="FF000000"/>
            <rFont val="Calibri"/>
            <family val="2"/>
          </rPr>
          <t xml:space="preserve">
List HCR subsidy source(s) units will be regulated by. Use the following abbreviations:  HTF, CIF, SHOP, PHP, MIHP, FHTF
 </t>
        </r>
      </text>
    </comment>
    <comment ref="C56" authorId="0" shapeId="0" xr:uid="{DC722898-A367-41BF-952B-73182DEFEE36}">
      <text>
        <r>
          <rPr>
            <b/>
            <sz val="11"/>
            <color rgb="FF000000"/>
            <rFont val="Calibri"/>
            <family val="2"/>
          </rPr>
          <t xml:space="preserve">AMI limit: </t>
        </r>
        <r>
          <rPr>
            <sz val="11"/>
            <color rgb="FF000000"/>
            <rFont val="Calibri"/>
            <family val="2"/>
          </rPr>
          <t xml:space="preserve">
Enter the maximum AMI %  that the unit will be regulated at or below
</t>
        </r>
      </text>
    </comment>
    <comment ref="F56" authorId="0" shapeId="0" xr:uid="{456D03CD-B979-478B-9240-5669CC9B6E57}">
      <text>
        <r>
          <rPr>
            <b/>
            <sz val="11"/>
            <color rgb="FF000000"/>
            <rFont val="Calibri"/>
            <family val="2"/>
          </rPr>
          <t xml:space="preserve">HCR Subsidy: </t>
        </r>
        <r>
          <rPr>
            <sz val="11"/>
            <color rgb="FF000000"/>
            <rFont val="Calibri"/>
            <family val="2"/>
          </rPr>
          <t xml:space="preserve">
List HCR subsidy source(s) units will be regulated by. Use the following abbreviations:  HTF, CIF, SHOP, PHP, MIHP, FHTF
 </t>
        </r>
      </text>
    </comment>
    <comment ref="C62" authorId="0" shapeId="0" xr:uid="{00AF1304-6417-49E9-8060-FBDB5A492D8C}">
      <text>
        <r>
          <rPr>
            <b/>
            <sz val="11"/>
            <color rgb="FF000000"/>
            <rFont val="Calibri"/>
            <family val="2"/>
          </rPr>
          <t xml:space="preserve">AMI limit: </t>
        </r>
        <r>
          <rPr>
            <sz val="11"/>
            <color rgb="FF000000"/>
            <rFont val="Calibri"/>
            <family val="2"/>
          </rPr>
          <t xml:space="preserve">
Enter the maximum AMI %  that the unit will be regulated at or below
</t>
        </r>
      </text>
    </comment>
    <comment ref="F62" authorId="0" shapeId="0" xr:uid="{DE72F26B-19BA-4A50-9C25-3D15917A8D64}">
      <text>
        <r>
          <rPr>
            <b/>
            <sz val="11"/>
            <color rgb="FF000000"/>
            <rFont val="Calibri"/>
            <family val="2"/>
          </rPr>
          <t xml:space="preserve">HCR Subsidy: </t>
        </r>
        <r>
          <rPr>
            <sz val="11"/>
            <color rgb="FF000000"/>
            <rFont val="Calibri"/>
            <family val="2"/>
          </rPr>
          <t xml:space="preserve">
List HCR subsidy source(s) units will be regulated by. Use the following abbreviations:  HTF, CIF, SHOP, PHP, MIHP, FHTF
 </t>
        </r>
      </text>
    </comment>
    <comment ref="C68" authorId="0" shapeId="0" xr:uid="{DD5EBFD3-5065-42DB-8EDA-05C1DD080E10}">
      <text>
        <r>
          <rPr>
            <b/>
            <sz val="11"/>
            <color rgb="FF000000"/>
            <rFont val="Calibri"/>
            <family val="2"/>
          </rPr>
          <t xml:space="preserve">AMI limit: </t>
        </r>
        <r>
          <rPr>
            <sz val="11"/>
            <color rgb="FF000000"/>
            <rFont val="Calibri"/>
            <family val="2"/>
          </rPr>
          <t xml:space="preserve">
</t>
        </r>
        <r>
          <rPr>
            <sz val="11"/>
            <color rgb="FF000000"/>
            <rFont val="Calibri"/>
            <family val="2"/>
          </rPr>
          <t xml:space="preserve">Enter the maximum AMI %  that the unit well be regulated at or below
</t>
        </r>
      </text>
    </comment>
    <comment ref="F68" authorId="0" shapeId="0" xr:uid="{18E46CD4-0A3E-433A-B5E6-8CE96A827405}">
      <text>
        <r>
          <rPr>
            <b/>
            <sz val="11"/>
            <color rgb="FF000000"/>
            <rFont val="Calibri"/>
            <family val="2"/>
          </rPr>
          <t xml:space="preserve">HCR Subsidy: </t>
        </r>
        <r>
          <rPr>
            <sz val="11"/>
            <color rgb="FF000000"/>
            <rFont val="Calibri"/>
            <family val="2"/>
          </rPr>
          <t xml:space="preserve">
List HCR subsidy source(s) units will be regulated by. Use the following abbreviations:  HTF, CIF, SHOP, PHP, MIHP, FHTF
 </t>
        </r>
      </text>
    </comment>
    <comment ref="C74" authorId="0" shapeId="0" xr:uid="{4BA20330-0F12-432E-BC4C-E80B4077C863}">
      <text>
        <r>
          <rPr>
            <b/>
            <sz val="11"/>
            <color rgb="FF000000"/>
            <rFont val="Calibri"/>
            <family val="2"/>
          </rPr>
          <t xml:space="preserve">AMI limit: </t>
        </r>
        <r>
          <rPr>
            <sz val="11"/>
            <color rgb="FF000000"/>
            <rFont val="Calibri"/>
            <family val="2"/>
          </rPr>
          <t xml:space="preserve">
Enter the maximum AMI %  that the unit will be regulated at or below
</t>
        </r>
      </text>
    </comment>
    <comment ref="F74" authorId="0" shapeId="0" xr:uid="{AAED5CF3-F254-442B-AC53-D17B370B24EA}">
      <text>
        <r>
          <rPr>
            <b/>
            <sz val="11"/>
            <color rgb="FF000000"/>
            <rFont val="Calibri"/>
            <family val="2"/>
          </rPr>
          <t xml:space="preserve">HCR Subsidy: </t>
        </r>
        <r>
          <rPr>
            <sz val="11"/>
            <color rgb="FF000000"/>
            <rFont val="Calibri"/>
            <family val="2"/>
          </rPr>
          <t xml:space="preserve">
List HCR subsidy source(s) units will be regulated by. Use the following abbreviations:  HTF, CIF, SHOP, PHP, MIHP, FHTF
 </t>
        </r>
      </text>
    </comment>
    <comment ref="C80" authorId="0" shapeId="0" xr:uid="{01B394ED-8CB1-4829-8D67-A97BB170702F}">
      <text>
        <r>
          <rPr>
            <b/>
            <sz val="11"/>
            <color rgb="FF000000"/>
            <rFont val="Calibri"/>
            <family val="2"/>
          </rPr>
          <t xml:space="preserve">AMI limit: </t>
        </r>
        <r>
          <rPr>
            <sz val="11"/>
            <color rgb="FF000000"/>
            <rFont val="Calibri"/>
            <family val="2"/>
          </rPr>
          <t xml:space="preserve">
Enter the maximum AMI %  that the unit will be regulated at or below
</t>
        </r>
      </text>
    </comment>
    <comment ref="F80" authorId="0" shapeId="0" xr:uid="{270A06A5-1ED3-46A3-ABA1-A75B9DB0DE67}">
      <text>
        <r>
          <rPr>
            <b/>
            <sz val="11"/>
            <color rgb="FF000000"/>
            <rFont val="Calibri"/>
            <family val="2"/>
          </rPr>
          <t xml:space="preserve">HCR Subsidy: </t>
        </r>
        <r>
          <rPr>
            <sz val="11"/>
            <color rgb="FF000000"/>
            <rFont val="Calibri"/>
            <family val="2"/>
          </rPr>
          <t xml:space="preserve">
List HCR subsidy source(s) units will be regulated by. Use the following abbreviations:  HTF, CIF, SHOP, PHP, MIHP, FHTF
 </t>
        </r>
      </text>
    </comment>
    <comment ref="C86" authorId="0" shapeId="0" xr:uid="{5EF61EA8-911C-4A4F-93F3-C6731ABCC8DA}">
      <text>
        <r>
          <rPr>
            <b/>
            <sz val="11"/>
            <color rgb="FF000000"/>
            <rFont val="Calibri"/>
            <family val="2"/>
          </rPr>
          <t xml:space="preserve">AMI limit: </t>
        </r>
        <r>
          <rPr>
            <sz val="11"/>
            <color rgb="FF000000"/>
            <rFont val="Calibri"/>
            <family val="2"/>
          </rPr>
          <t xml:space="preserve">
Enter the maximum AMI %  that the unit will be regulated at or below
</t>
        </r>
      </text>
    </comment>
    <comment ref="F86" authorId="0" shapeId="0" xr:uid="{75037A2B-1339-44EB-8373-B8AE362A1038}">
      <text>
        <r>
          <rPr>
            <b/>
            <sz val="11"/>
            <color rgb="FF000000"/>
            <rFont val="Calibri"/>
            <family val="2"/>
          </rPr>
          <t xml:space="preserve">HCR Subsidy: </t>
        </r>
        <r>
          <rPr>
            <sz val="11"/>
            <color rgb="FF000000"/>
            <rFont val="Calibri"/>
            <family val="2"/>
          </rPr>
          <t xml:space="preserve">
List HCR subsidy source(s) units will be regulated by. Use the following abbreviations:  HTF, CIF, SHOP, PHP, MIHP, FHTF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Flanagan, Richard (HCR)</author>
  </authors>
  <commentList>
    <comment ref="B28" authorId="0" shapeId="0" xr:uid="{C62F5099-0822-4FCC-8288-AF37E590E4DA}">
      <text>
        <r>
          <rPr>
            <sz val="11"/>
            <color indexed="81"/>
            <rFont val="Calibri"/>
            <family val="2"/>
            <scheme val="minor"/>
          </rPr>
          <t xml:space="preserve">Specify gas, electric, oil or other type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Flanagan, Richard (HCR)</author>
  </authors>
  <commentList>
    <comment ref="K8" authorId="0" shapeId="0" xr:uid="{7F743DD5-BEDB-4DD9-AB42-79ED4630DEC3}">
      <text>
        <r>
          <rPr>
            <sz val="11"/>
            <color indexed="81"/>
            <rFont val="Calibri"/>
            <family val="2"/>
            <scheme val="minor"/>
          </rPr>
          <t>Enter the amount of the budgeted cost that is includable in  eligible basis.</t>
        </r>
      </text>
    </comment>
    <comment ref="K35" authorId="0" shapeId="0" xr:uid="{F0358F07-CB5F-454A-9F6F-3B54C908678E}">
      <text>
        <r>
          <rPr>
            <sz val="12"/>
            <color indexed="81"/>
            <rFont val="Calibri"/>
            <family val="2"/>
            <scheme val="minor"/>
          </rPr>
          <t>Enter the amount of the budgeted cost that is includable in  eligible basis.</t>
        </r>
      </text>
    </comment>
    <comment ref="F44" authorId="0" shapeId="0" xr:uid="{9761881F-33D5-42AC-A710-A6E525473F69}">
      <text>
        <r>
          <rPr>
            <sz val="12"/>
            <color indexed="81"/>
            <rFont val="Calibri"/>
            <family val="2"/>
            <scheme val="minor"/>
          </rPr>
          <t>Applies to non-tax credit projects only.  See directions below for formula.</t>
        </r>
      </text>
    </comment>
    <comment ref="F50" authorId="0" shapeId="0" xr:uid="{869824A6-E8DF-4535-AD88-DDA21700F2FA}">
      <text>
        <r>
          <rPr>
            <sz val="12"/>
            <color rgb="FF000000"/>
            <rFont val="Calibri"/>
            <family val="2"/>
            <scheme val="minor"/>
          </rPr>
          <t>Enter LIHTC and/or SLIHC Application fees - $3000 per credit request</t>
        </r>
      </text>
    </comment>
    <comment ref="A54" authorId="0" shapeId="0" xr:uid="{182CDA14-0EB6-4111-B140-E5563A4C1AF8}">
      <text>
        <r>
          <rPr>
            <sz val="12"/>
            <color indexed="81"/>
            <rFont val="Calibri"/>
            <family val="2"/>
            <scheme val="minor"/>
          </rPr>
          <t xml:space="preserve">5% maximum - calculation excludes grey cells- developer's allowance, initial operating deficit, supplemental management fee, marketing, and maintenance and equipment. </t>
        </r>
      </text>
    </comment>
    <comment ref="D54" authorId="0" shapeId="0" xr:uid="{540C55BE-8255-4C5C-B2B2-BC660D10E979}">
      <text>
        <r>
          <rPr>
            <sz val="12"/>
            <color indexed="81"/>
            <rFont val="Calibri"/>
            <family val="2"/>
            <scheme val="minor"/>
          </rPr>
          <t xml:space="preserve">5% maximum - calculation excludes grey cells- developer's allowance, initial operating deficit, supplemental management fee, marketing, and maintenance and equipment. </t>
        </r>
      </text>
    </comment>
    <comment ref="E54" authorId="0" shapeId="0" xr:uid="{F85236F5-CADD-426E-96A7-F0F4EA4932B3}">
      <text>
        <r>
          <rPr>
            <sz val="12"/>
            <color indexed="81"/>
            <rFont val="Calibri"/>
            <family val="2"/>
            <scheme val="minor"/>
          </rPr>
          <t xml:space="preserve">5% maximum - calculation excludes grey cells- developer's allowance, initial operating deficit, supplemental management fee, marketing, and maintenance and equipment. </t>
        </r>
      </text>
    </comment>
    <comment ref="F54" authorId="0" shapeId="0" xr:uid="{A08410ED-EC98-43A0-8B93-8B5C4AF9FE0C}">
      <text>
        <r>
          <rPr>
            <sz val="12"/>
            <color indexed="81"/>
            <rFont val="Calibri"/>
            <family val="2"/>
            <scheme val="minor"/>
          </rPr>
          <t xml:space="preserve">5% maximum - calculation excludes grey cells- developer's allowance, initial operating deficit, supplemental management fee, marketing, and maintenance and equipment. </t>
        </r>
      </text>
    </comment>
    <comment ref="M54" authorId="0" shapeId="0" xr:uid="{4DB94FA3-A12D-4A7F-91B8-C0AF39A2546E}">
      <text>
        <r>
          <rPr>
            <sz val="12"/>
            <color indexed="81"/>
            <rFont val="Calibri"/>
            <family val="2"/>
            <scheme val="minor"/>
          </rPr>
          <t xml:space="preserve">5% maximum - calculation excludes grey cells- developer's allowance, initial operating deficit, supplemental management fee, marketing, and maintenance and equipment. </t>
        </r>
      </text>
    </comment>
    <comment ref="A74" authorId="0" shapeId="0" xr:uid="{91ACB69C-42E6-4565-BB95-550758A5356C}">
      <text>
        <r>
          <rPr>
            <sz val="12"/>
            <color indexed="81"/>
            <rFont val="Calibri"/>
            <family val="2"/>
            <scheme val="minor"/>
          </rPr>
          <t>See instructions below for Operating Reserve Capitalization requirements.</t>
        </r>
      </text>
    </comment>
    <comment ref="F74" authorId="0" shapeId="0" xr:uid="{311E9E5F-0857-443E-B59D-112423742448}">
      <text>
        <r>
          <rPr>
            <sz val="12"/>
            <color indexed="81"/>
            <rFont val="Calibri"/>
            <family val="2"/>
            <scheme val="minor"/>
          </rPr>
          <t>See instructions below for Operating Reserve Capitalization requirements.</t>
        </r>
      </text>
    </comment>
    <comment ref="A75" authorId="0" shapeId="0" xr:uid="{2FA362AC-3743-4F16-81FB-9BD30BD069F5}">
      <text>
        <r>
          <rPr>
            <sz val="12"/>
            <color indexed="81"/>
            <rFont val="Calibri"/>
            <family val="2"/>
            <scheme val="minor"/>
          </rPr>
          <t>See instructions below for Replacement Reserve Capitalization requirements.</t>
        </r>
      </text>
    </comment>
    <comment ref="F75" authorId="0" shapeId="0" xr:uid="{AA6F9413-117E-4879-A9D7-62C80B7341C6}">
      <text>
        <r>
          <rPr>
            <sz val="12"/>
            <color indexed="81"/>
            <rFont val="Calibri"/>
            <family val="2"/>
            <scheme val="minor"/>
          </rPr>
          <t>See instructions below for Replacement Reserve Capitalization requirements.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Flanagan, Richard (HCR)</author>
  </authors>
  <commentList>
    <comment ref="E75" authorId="0" shapeId="0" xr:uid="{5B62BCAC-9BF0-48B9-811A-903C448D89E6}">
      <text>
        <r>
          <rPr>
            <sz val="10"/>
            <color rgb="FF000000"/>
            <rFont val="Calibri"/>
            <family val="2"/>
          </rPr>
          <t>Multiply  the % of the project units  located in a QCT  X  30% to get the adjusted basis boost</t>
        </r>
      </text>
    </comment>
    <comment ref="B103" authorId="0" shapeId="0" xr:uid="{EA17844F-3A64-49D7-B851-B1CB50E7FC8F}">
      <text>
        <r>
          <rPr>
            <sz val="9"/>
            <color rgb="FF000000"/>
            <rFont val="Tahoma"/>
            <family val="2"/>
          </rPr>
          <t xml:space="preserve">Enter City, State, Zip if all buildings are in the same City
</t>
        </r>
      </text>
    </comment>
    <comment ref="B153" authorId="0" shapeId="0" xr:uid="{A7EF84C0-2386-4F34-93AF-542432FC982D}">
      <text>
        <r>
          <rPr>
            <sz val="9"/>
            <color indexed="81"/>
            <rFont val="Tahoma"/>
            <family val="2"/>
          </rPr>
          <t xml:space="preserve">Enter City, State, Zip if all buildings are in the same City
</t>
        </r>
      </text>
    </comment>
    <comment ref="I193" authorId="0" shapeId="0" xr:uid="{D3CED901-64CF-442B-B018-20E5BD6F5BD6}">
      <text>
        <r>
          <rPr>
            <sz val="9"/>
            <color indexed="81"/>
            <rFont val="Tahoma"/>
            <family val="2"/>
          </rPr>
          <t>Enter the 30% credit rate for the month indicated</t>
        </r>
      </text>
    </comment>
    <comment ref="B202" authorId="0" shapeId="0" xr:uid="{9B1146BB-9C28-4815-8387-D7A177FC1617}">
      <text>
        <r>
          <rPr>
            <sz val="9"/>
            <color indexed="81"/>
            <rFont val="Tahoma"/>
            <family val="2"/>
          </rPr>
          <t xml:space="preserve">Enter City, State, Zip if all buildings are in the same City
</t>
        </r>
      </text>
    </comment>
    <comment ref="B252" authorId="0" shapeId="0" xr:uid="{896067E4-0A06-4195-99FD-AAD4113C3618}">
      <text>
        <r>
          <rPr>
            <sz val="9"/>
            <color indexed="81"/>
            <rFont val="Tahoma"/>
            <family val="2"/>
          </rPr>
          <t xml:space="preserve">Enter City, State, Zip if all buildings are in the same City
</t>
        </r>
      </text>
    </comment>
    <comment ref="I292" authorId="0" shapeId="0" xr:uid="{382D7395-0510-4E2B-8ABF-C2E5DB3C4AC6}">
      <text>
        <r>
          <rPr>
            <sz val="9"/>
            <color indexed="81"/>
            <rFont val="Tahoma"/>
            <family val="2"/>
          </rPr>
          <t>Enter the 30% credit rate for the month indicated</t>
        </r>
      </text>
    </comment>
  </commentList>
</comments>
</file>

<file path=xl/sharedStrings.xml><?xml version="1.0" encoding="utf-8"?>
<sst xmlns="http://schemas.openxmlformats.org/spreadsheetml/2006/main" count="1369" uniqueCount="826">
  <si>
    <t># of Units</t>
  </si>
  <si>
    <t>Total</t>
  </si>
  <si>
    <t># of Spaces</t>
  </si>
  <si>
    <t>Monthly Rent</t>
  </si>
  <si>
    <t>Annual Income</t>
  </si>
  <si>
    <t># units</t>
  </si>
  <si>
    <t>Laundry</t>
  </si>
  <si>
    <t>SOURCES AND USES</t>
  </si>
  <si>
    <t>Term</t>
  </si>
  <si>
    <t>Subtotal</t>
  </si>
  <si>
    <t>Insurance</t>
  </si>
  <si>
    <t>Utilities</t>
  </si>
  <si>
    <t>Marketing</t>
  </si>
  <si>
    <t>Studio</t>
  </si>
  <si>
    <t># of Rms/ DU</t>
  </si>
  <si>
    <t>Units</t>
  </si>
  <si>
    <t>Rooms</t>
  </si>
  <si>
    <t>Contingency</t>
  </si>
  <si>
    <t>Super's Unit</t>
  </si>
  <si>
    <t>Permanent Sources</t>
  </si>
  <si>
    <t>Construction Sources</t>
  </si>
  <si>
    <t>Commercial</t>
  </si>
  <si>
    <t>Year 1</t>
  </si>
  <si>
    <t>Year 2</t>
  </si>
  <si>
    <t>Year 3</t>
  </si>
  <si>
    <t>Year 4</t>
  </si>
  <si>
    <t>Year 5</t>
  </si>
  <si>
    <t>Year 6</t>
  </si>
  <si>
    <t>Year 7</t>
  </si>
  <si>
    <t>Year 8</t>
  </si>
  <si>
    <t>Year 9</t>
  </si>
  <si>
    <t>Year 10</t>
  </si>
  <si>
    <t>General Conditions</t>
  </si>
  <si>
    <t>Parking</t>
  </si>
  <si>
    <t xml:space="preserve"> </t>
  </si>
  <si>
    <t>Year 11</t>
  </si>
  <si>
    <t>Year 12</t>
  </si>
  <si>
    <t>% of total</t>
  </si>
  <si>
    <t># Rooms</t>
  </si>
  <si>
    <t>Total Commercial &amp; Ancillary  Income</t>
  </si>
  <si>
    <t>Residential Income</t>
  </si>
  <si>
    <t>DEVELOPMENT BUDGET</t>
  </si>
  <si>
    <t>MAINTENANCE &amp; OPERATING EXPENSES</t>
  </si>
  <si>
    <t>Months</t>
  </si>
  <si>
    <t>Years</t>
  </si>
  <si>
    <t>Construction term</t>
  </si>
  <si>
    <t>Amount</t>
  </si>
  <si>
    <t>Interest Rate</t>
  </si>
  <si>
    <t>Net Comm &amp; Ancillary Income</t>
  </si>
  <si>
    <t>Income</t>
  </si>
  <si>
    <t>Environmental Phase I &amp; II</t>
  </si>
  <si>
    <t>Uses</t>
  </si>
  <si>
    <t>COMMERICAL AND ANCILLARY INCOME</t>
  </si>
  <si>
    <t>Soft Costs</t>
  </si>
  <si>
    <t>Developer Costs</t>
  </si>
  <si>
    <t>Annual Rent</t>
  </si>
  <si>
    <t>Unit size</t>
  </si>
  <si>
    <t>1 Bedroom</t>
  </si>
  <si>
    <t>2 Bedroom</t>
  </si>
  <si>
    <t>3 Bedroom</t>
  </si>
  <si>
    <t xml:space="preserve">Applicants should provide separate pro formas for each component of a project that will be separately financed. </t>
  </si>
  <si>
    <t>Residential GSF</t>
  </si>
  <si>
    <t>Efficiency</t>
  </si>
  <si>
    <t>NSF</t>
  </si>
  <si>
    <t>GSF</t>
  </si>
  <si>
    <t>Total Project GSF</t>
  </si>
  <si>
    <t>Year 13</t>
  </si>
  <si>
    <t>Year 14</t>
  </si>
  <si>
    <t>Year 15</t>
  </si>
  <si>
    <t>Potential Gross Income</t>
  </si>
  <si>
    <t>Year 16</t>
  </si>
  <si>
    <t>Year 17</t>
  </si>
  <si>
    <t>Year 18</t>
  </si>
  <si>
    <t>Year 19</t>
  </si>
  <si>
    <t>Year 20</t>
  </si>
  <si>
    <t>Year 21</t>
  </si>
  <si>
    <t>Year 22</t>
  </si>
  <si>
    <t>Year 23</t>
  </si>
  <si>
    <t>Year 24</t>
  </si>
  <si>
    <t>Year 25</t>
  </si>
  <si>
    <t>Year 26</t>
  </si>
  <si>
    <t>Year 27</t>
  </si>
  <si>
    <t>Year 28</t>
  </si>
  <si>
    <t>Year 29</t>
  </si>
  <si>
    <t>Year 30</t>
  </si>
  <si>
    <t>Appraisal</t>
  </si>
  <si>
    <t>Expenses/ Unit</t>
  </si>
  <si>
    <t>Real Estate Taxes</t>
  </si>
  <si>
    <t xml:space="preserve">Administrative  </t>
  </si>
  <si>
    <t>Repairs and Maintenance</t>
  </si>
  <si>
    <t>Total Operating Expenses</t>
  </si>
  <si>
    <t>Reserves</t>
  </si>
  <si>
    <t>Replacement Reserves</t>
  </si>
  <si>
    <t>Total Operating Expenses and Reserves</t>
  </si>
  <si>
    <t>Vacancy Allowance</t>
  </si>
  <si>
    <t>Effective Gross Income</t>
  </si>
  <si>
    <t>First Mortgage Debt Service</t>
  </si>
  <si>
    <t>Debt Coverage Ratio</t>
  </si>
  <si>
    <t>SONYMA</t>
  </si>
  <si>
    <t>Inflation %</t>
  </si>
  <si>
    <t>Maintenance &amp; Operating Expenses</t>
  </si>
  <si>
    <t>Total LIHTC units</t>
  </si>
  <si>
    <t>Water/Sewer</t>
  </si>
  <si>
    <t>FINANCING ASSUMPTIONS</t>
  </si>
  <si>
    <t>NET OPERATING INCOME (NOI)</t>
  </si>
  <si>
    <t>Effective Gross Income (EGI)</t>
  </si>
  <si>
    <t>Interest Rate:</t>
  </si>
  <si>
    <t>Fixed</t>
  </si>
  <si>
    <t>Land</t>
  </si>
  <si>
    <t>Acquisition Costs</t>
  </si>
  <si>
    <t>Contingent Hard Costs</t>
  </si>
  <si>
    <t>Architect / Engineer</t>
  </si>
  <si>
    <t>Title &amp; Recording</t>
  </si>
  <si>
    <t>Market Study</t>
  </si>
  <si>
    <t>Permits / Fees</t>
  </si>
  <si>
    <t>Total Acquisition Costs:</t>
  </si>
  <si>
    <t>Total Soft Costs:</t>
  </si>
  <si>
    <t>1BR</t>
  </si>
  <si>
    <t>2BR</t>
  </si>
  <si>
    <t>3BR</t>
  </si>
  <si>
    <t>4BR</t>
  </si>
  <si>
    <t>4 Bedroom</t>
  </si>
  <si>
    <t>Number of Units</t>
  </si>
  <si>
    <t>Utility Allowance</t>
  </si>
  <si>
    <t>Income to Expense (I-E) Ratio:</t>
  </si>
  <si>
    <t>Term:</t>
  </si>
  <si>
    <t>Total Annual Rental Income</t>
  </si>
  <si>
    <t>RESIDENTIAL INCOME UPON OCCUPANCY</t>
  </si>
  <si>
    <t>Total Potential Gross Income:</t>
  </si>
  <si>
    <t>Total Vacancy Allowance:</t>
  </si>
  <si>
    <t>Effective Gross Income:</t>
  </si>
  <si>
    <t>years</t>
  </si>
  <si>
    <t>Hard Construction Costs</t>
  </si>
  <si>
    <t>Developer Fee</t>
  </si>
  <si>
    <t>Per Unit</t>
  </si>
  <si>
    <t>Total Operating Expenses:</t>
  </si>
  <si>
    <t>Total Expenses &amp; Reserves:</t>
  </si>
  <si>
    <t>Net Operating Income:</t>
  </si>
  <si>
    <t>TOTAL ANNUAL PROJECT INCOME:</t>
  </si>
  <si>
    <t>Applicable Fraction</t>
  </si>
  <si>
    <t>Total Revenue units</t>
  </si>
  <si>
    <t>Avg. NSF/ DU</t>
  </si>
  <si>
    <t>Expenses/ Room</t>
  </si>
  <si>
    <t>Less Vacancies</t>
  </si>
  <si>
    <t>Potential Gross Income (PGI)</t>
  </si>
  <si>
    <t>Total Expenses &amp; Reserves</t>
  </si>
  <si>
    <t>Lot SF:</t>
  </si>
  <si>
    <t>SF DISTRIBUTION</t>
  </si>
  <si>
    <t>UNIT DISTRIBUTION</t>
  </si>
  <si>
    <t>Community Facility</t>
  </si>
  <si>
    <t>Annual per unit</t>
  </si>
  <si>
    <t>Total Construction Sources</t>
  </si>
  <si>
    <t>Total Permanent Sources</t>
  </si>
  <si>
    <t>Total Uses</t>
  </si>
  <si>
    <t>Supplies/Cleaning/Exterminating</t>
  </si>
  <si>
    <t>Salaries</t>
  </si>
  <si>
    <t>Cash Flow</t>
  </si>
  <si>
    <t xml:space="preserve"> Management Fee </t>
  </si>
  <si>
    <t>Total Expenses Net of Management Fee</t>
  </si>
  <si>
    <t>Gas and Electricity</t>
  </si>
  <si>
    <t>Elevator Maintenance and Repairs</t>
  </si>
  <si>
    <t xml:space="preserve">No. </t>
  </si>
  <si>
    <t>Operating Expenses:</t>
  </si>
  <si>
    <t>UNITS &amp; INCOME</t>
  </si>
  <si>
    <t xml:space="preserve">Total Development Cost: </t>
  </si>
  <si>
    <t>Residential</t>
  </si>
  <si>
    <t>Permits and Expediting</t>
  </si>
  <si>
    <t>Survey</t>
  </si>
  <si>
    <t>Developer's Fee</t>
  </si>
  <si>
    <t>Repairs/Replacement</t>
  </si>
  <si>
    <t xml:space="preserve">Legal </t>
  </si>
  <si>
    <t>Debt Service Coverage Ratio (DSCR):</t>
  </si>
  <si>
    <t>Net Cash Flow</t>
  </si>
  <si>
    <t>Benchmarking</t>
  </si>
  <si>
    <t>AMI Tier</t>
  </si>
  <si>
    <t xml:space="preserve"># D/Us </t>
  </si>
  <si>
    <t>Two Year Old Financial Statement</t>
  </si>
  <si>
    <t>Last Year's Financial Statement</t>
  </si>
  <si>
    <t>1)</t>
  </si>
  <si>
    <t>2)</t>
  </si>
  <si>
    <t>Only cells highlighted in blue should be filled out:</t>
  </si>
  <si>
    <t>3)</t>
  </si>
  <si>
    <t>Instructions for Completing Underwriting Model</t>
  </si>
  <si>
    <t>of TDC</t>
  </si>
  <si>
    <t xml:space="preserve">Subtotal  </t>
  </si>
  <si>
    <t>Cost/Elevator</t>
  </si>
  <si>
    <t>Debt Service</t>
  </si>
  <si>
    <t>Building</t>
  </si>
  <si>
    <t>SUMMARY</t>
  </si>
  <si>
    <t>Total Units</t>
  </si>
  <si>
    <t>Residential Gross Square Footage</t>
  </si>
  <si>
    <t>Studios</t>
  </si>
  <si>
    <t>One-Bedrooms</t>
  </si>
  <si>
    <t>Two-Bedrooms</t>
  </si>
  <si>
    <t>Three-Bedrooms</t>
  </si>
  <si>
    <t>Parking Spaces</t>
  </si>
  <si>
    <t>Total Project Income</t>
  </si>
  <si>
    <t>Four-Bedrooms</t>
  </si>
  <si>
    <t>Total Expenses</t>
  </si>
  <si>
    <t xml:space="preserve">Net Operating Income </t>
  </si>
  <si>
    <t>Total Construction Term</t>
  </si>
  <si>
    <t xml:space="preserve">Amount </t>
  </si>
  <si>
    <t>Percentage</t>
  </si>
  <si>
    <t>Residential Income Inflation</t>
  </si>
  <si>
    <t>Net Cash Flow 15 Years</t>
  </si>
  <si>
    <t xml:space="preserve">Acquisition </t>
  </si>
  <si>
    <t xml:space="preserve">Construction Costs </t>
  </si>
  <si>
    <t xml:space="preserve">Soft Costs </t>
  </si>
  <si>
    <t>Reserves &amp; Escrow</t>
  </si>
  <si>
    <t>Total LIHTC Units</t>
  </si>
  <si>
    <t>Mix</t>
  </si>
  <si>
    <t>Income to Expense Year 1</t>
  </si>
  <si>
    <t>DSCR Year 1</t>
  </si>
  <si>
    <t>Income Mix:</t>
  </si>
  <si>
    <t>Basis Boost</t>
  </si>
  <si>
    <t>Superintendent &amp; Maintenance Staff Salaries including Benefits</t>
  </si>
  <si>
    <t>(preservation only)</t>
  </si>
  <si>
    <t xml:space="preserve">Landscaping/Snow Removal </t>
  </si>
  <si>
    <t xml:space="preserve">Net Cash Flow in 15 years </t>
  </si>
  <si>
    <t xml:space="preserve">Albany County </t>
  </si>
  <si>
    <t xml:space="preserve">Allegany County </t>
  </si>
  <si>
    <t xml:space="preserve">Bronx County </t>
  </si>
  <si>
    <t xml:space="preserve">Broome County </t>
  </si>
  <si>
    <t xml:space="preserve">Cattaraugus County </t>
  </si>
  <si>
    <t xml:space="preserve">Cayuga County </t>
  </si>
  <si>
    <t xml:space="preserve">Chautauqua County </t>
  </si>
  <si>
    <t xml:space="preserve">Chemung County </t>
  </si>
  <si>
    <t xml:space="preserve">Chenango County </t>
  </si>
  <si>
    <t xml:space="preserve">Clinton County </t>
  </si>
  <si>
    <t xml:space="preserve">Columbia County </t>
  </si>
  <si>
    <t xml:space="preserve">Cortland County </t>
  </si>
  <si>
    <t xml:space="preserve">Delaware County </t>
  </si>
  <si>
    <t xml:space="preserve">Dutchess County </t>
  </si>
  <si>
    <t xml:space="preserve">Erie County </t>
  </si>
  <si>
    <t xml:space="preserve">Essex County </t>
  </si>
  <si>
    <t xml:space="preserve">Franklin County </t>
  </si>
  <si>
    <t xml:space="preserve">Fulton County </t>
  </si>
  <si>
    <t xml:space="preserve">Genesee County </t>
  </si>
  <si>
    <t xml:space="preserve">Greene County </t>
  </si>
  <si>
    <t xml:space="preserve">Hamilton County </t>
  </si>
  <si>
    <t xml:space="preserve">Herkimer County </t>
  </si>
  <si>
    <t xml:space="preserve">Jefferson County </t>
  </si>
  <si>
    <t xml:space="preserve">Kings County </t>
  </si>
  <si>
    <t xml:space="preserve">Lewis County </t>
  </si>
  <si>
    <t xml:space="preserve">Livingston County </t>
  </si>
  <si>
    <t xml:space="preserve">Madison County </t>
  </si>
  <si>
    <t xml:space="preserve">Monroe County </t>
  </si>
  <si>
    <t xml:space="preserve">Montgomery County </t>
  </si>
  <si>
    <t xml:space="preserve">Nassau County </t>
  </si>
  <si>
    <t xml:space="preserve">New York County </t>
  </si>
  <si>
    <t xml:space="preserve">Niagara County </t>
  </si>
  <si>
    <t xml:space="preserve">Oneida County </t>
  </si>
  <si>
    <t xml:space="preserve">Onondaga County </t>
  </si>
  <si>
    <t xml:space="preserve">Ontario County </t>
  </si>
  <si>
    <t xml:space="preserve">Orange County </t>
  </si>
  <si>
    <t xml:space="preserve">Orleans County </t>
  </si>
  <si>
    <t xml:space="preserve">Oswego County </t>
  </si>
  <si>
    <t xml:space="preserve">Otsego County </t>
  </si>
  <si>
    <t xml:space="preserve">Putnam County </t>
  </si>
  <si>
    <t xml:space="preserve">Queens County </t>
  </si>
  <si>
    <t xml:space="preserve">Rensselaer County </t>
  </si>
  <si>
    <t xml:space="preserve">Richmond County </t>
  </si>
  <si>
    <t xml:space="preserve">Rockland County </t>
  </si>
  <si>
    <t xml:space="preserve">Saratoga County </t>
  </si>
  <si>
    <t xml:space="preserve">Schenectady County </t>
  </si>
  <si>
    <t xml:space="preserve">Schoharie County </t>
  </si>
  <si>
    <t xml:space="preserve">Schuyler County </t>
  </si>
  <si>
    <t xml:space="preserve">Seneca County </t>
  </si>
  <si>
    <t xml:space="preserve">St. Lawrence County </t>
  </si>
  <si>
    <t xml:space="preserve">Steuben County </t>
  </si>
  <si>
    <t xml:space="preserve">Suffolk County </t>
  </si>
  <si>
    <t xml:space="preserve">Sullivan County </t>
  </si>
  <si>
    <t xml:space="preserve">Tioga County </t>
  </si>
  <si>
    <t xml:space="preserve">Tompkins County </t>
  </si>
  <si>
    <t xml:space="preserve">Ulster County </t>
  </si>
  <si>
    <t xml:space="preserve">Warren County </t>
  </si>
  <si>
    <t xml:space="preserve">Washington County </t>
  </si>
  <si>
    <t xml:space="preserve">Wayne County </t>
  </si>
  <si>
    <t xml:space="preserve">Westchester County </t>
  </si>
  <si>
    <t xml:space="preserve">Wyoming County </t>
  </si>
  <si>
    <t xml:space="preserve">Yates County </t>
  </si>
  <si>
    <t>County</t>
  </si>
  <si>
    <t>100% AMI</t>
  </si>
  <si>
    <t>50% AMI</t>
  </si>
  <si>
    <t>for a family of four</t>
  </si>
  <si>
    <t>2 BR FMR</t>
  </si>
  <si>
    <t>Rent Burden</t>
  </si>
  <si>
    <t>of AMI</t>
  </si>
  <si>
    <t>No Utilities</t>
  </si>
  <si>
    <t>HH Size</t>
  </si>
  <si>
    <t>HH Factor</t>
  </si>
  <si>
    <t>HH size</t>
  </si>
  <si>
    <t>HH factor</t>
  </si>
  <si>
    <t>Unit Mix</t>
  </si>
  <si>
    <t>Equivalent AMI</t>
  </si>
  <si>
    <t>Tier 1</t>
  </si>
  <si>
    <t>Tier 3</t>
  </si>
  <si>
    <t>Tier2</t>
  </si>
  <si>
    <t>Tier 4</t>
  </si>
  <si>
    <t>Tier 5</t>
  </si>
  <si>
    <t>Income Limit</t>
  </si>
  <si>
    <t>Underwritten rent</t>
  </si>
  <si>
    <t>Number of units</t>
  </si>
  <si>
    <t>Gross rent</t>
  </si>
  <si>
    <t>5BR</t>
  </si>
  <si>
    <t>Subsidy Interest</t>
  </si>
  <si>
    <t>HC</t>
  </si>
  <si>
    <t>Revenue</t>
  </si>
  <si>
    <t>Residential Revenue</t>
  </si>
  <si>
    <t>Commercial Revenue</t>
  </si>
  <si>
    <t>Qualified Income Average</t>
  </si>
  <si>
    <t>Rental Income Average</t>
  </si>
  <si>
    <t>OpEx</t>
  </si>
  <si>
    <t>Fixed costs</t>
  </si>
  <si>
    <t>Mgmt Fee</t>
  </si>
  <si>
    <t>Development Budget</t>
  </si>
  <si>
    <t>Resi</t>
  </si>
  <si>
    <t>SC</t>
  </si>
  <si>
    <t>Fee</t>
  </si>
  <si>
    <t>TDC</t>
  </si>
  <si>
    <t>Construction Interest</t>
  </si>
  <si>
    <t>Income Tiers</t>
  </si>
  <si>
    <t>Inputs</t>
  </si>
  <si>
    <t>EGI</t>
  </si>
  <si>
    <t>Inflation</t>
  </si>
  <si>
    <t>Opex</t>
  </si>
  <si>
    <t>NOI</t>
  </si>
  <si>
    <t>First Mortgage</t>
  </si>
  <si>
    <t>Subsidy 1</t>
  </si>
  <si>
    <t>Subsidy 2</t>
  </si>
  <si>
    <t>Subsidy 3</t>
  </si>
  <si>
    <t>Subsidy 4</t>
  </si>
  <si>
    <t>Year</t>
  </si>
  <si>
    <t>Commercial Income</t>
  </si>
  <si>
    <t>Rental Revenue</t>
  </si>
  <si>
    <t>x</t>
  </si>
  <si>
    <t>Financing Assumptions</t>
  </si>
  <si>
    <t>Budget</t>
  </si>
  <si>
    <t>Rent Up/Conversion</t>
  </si>
  <si>
    <t>ST Base</t>
  </si>
  <si>
    <t>Community</t>
  </si>
  <si>
    <t>LIHTC</t>
  </si>
  <si>
    <t>Raise</t>
  </si>
  <si>
    <t>Total Equity</t>
  </si>
  <si>
    <t>Acquisition</t>
  </si>
  <si>
    <t>Rate</t>
  </si>
  <si>
    <t>Tax Credits</t>
  </si>
  <si>
    <t>SLIHC</t>
  </si>
  <si>
    <t>Total Eligible Basis</t>
  </si>
  <si>
    <t>per sf</t>
  </si>
  <si>
    <t>Revenue Escalation</t>
  </si>
  <si>
    <t>OpEx Escalation</t>
  </si>
  <si>
    <t>Mgmt Fee Escalation</t>
  </si>
  <si>
    <t>Bedrooms</t>
  </si>
  <si>
    <t>Rent</t>
  </si>
  <si>
    <t>UA</t>
  </si>
  <si>
    <t>Tier 6</t>
  </si>
  <si>
    <t>Total Annual Basis</t>
  </si>
  <si>
    <t>Admin</t>
  </si>
  <si>
    <t>Taxes and Insurance</t>
  </si>
  <si>
    <t>Fixed SC + SC contingency</t>
  </si>
  <si>
    <t>Annual Credits</t>
  </si>
  <si>
    <t>Perm</t>
  </si>
  <si>
    <t>Vacancy</t>
  </si>
  <si>
    <t>Subsidy Sources</t>
  </si>
  <si>
    <t>% Const</t>
  </si>
  <si>
    <t>Const Hard Pay</t>
  </si>
  <si>
    <t>Perm hard pay</t>
  </si>
  <si>
    <t>OTHER SOURCES</t>
  </si>
  <si>
    <t>Hard Costs</t>
  </si>
  <si>
    <t xml:space="preserve">Permanent </t>
  </si>
  <si>
    <t>Construction</t>
  </si>
  <si>
    <t>LC origination fee</t>
  </si>
  <si>
    <t>LC annual fee</t>
  </si>
  <si>
    <t>Base</t>
  </si>
  <si>
    <t>HFA fee</t>
  </si>
  <si>
    <t>HFA Fee</t>
  </si>
  <si>
    <t>Bond Interest</t>
  </si>
  <si>
    <t>Lender fees</t>
  </si>
  <si>
    <t>HFA fees</t>
  </si>
  <si>
    <t>HPD</t>
  </si>
  <si>
    <t>Deferred Developers Fee</t>
  </si>
  <si>
    <t>Permanent Mortgage</t>
  </si>
  <si>
    <t>15 year CF</t>
  </si>
  <si>
    <t>Basis %</t>
  </si>
  <si>
    <t>Tax Credit</t>
  </si>
  <si>
    <t>Average TC Income</t>
  </si>
  <si>
    <t>Rental Assistance Program</t>
  </si>
  <si>
    <t>Super</t>
  </si>
  <si>
    <t>Porter</t>
  </si>
  <si>
    <t>Builder's Profit</t>
  </si>
  <si>
    <t>Builder's Overhead</t>
  </si>
  <si>
    <r>
      <rPr>
        <sz val="12"/>
        <rFont val="Calibri"/>
        <family val="2"/>
        <scheme val="minor"/>
      </rPr>
      <t>Accounting</t>
    </r>
    <r>
      <rPr>
        <sz val="12"/>
        <color indexed="8"/>
        <rFont val="Calibri"/>
        <family val="2"/>
        <scheme val="minor"/>
      </rPr>
      <t xml:space="preserve"> &amp; Cost Certification</t>
    </r>
  </si>
  <si>
    <t>Bank Legal Fees</t>
  </si>
  <si>
    <t>SUBSIDY LOAN 1</t>
  </si>
  <si>
    <t xml:space="preserve">Loan Amount </t>
  </si>
  <si>
    <t>Amount (%) Advanced During Construction</t>
  </si>
  <si>
    <t>Mortgage Type</t>
  </si>
  <si>
    <t>Permanent Accrual Rate</t>
  </si>
  <si>
    <t>Permanent Pay Rate</t>
  </si>
  <si>
    <t>SUBSIDY LOAN 2</t>
  </si>
  <si>
    <t>Net Residential Income</t>
  </si>
  <si>
    <t>SUBSIDY LOAN 3</t>
  </si>
  <si>
    <t>SUBSIDY LOAN 4</t>
  </si>
  <si>
    <t>Units:</t>
  </si>
  <si>
    <t>Loan Amount :</t>
  </si>
  <si>
    <t xml:space="preserve">Assistance Type </t>
  </si>
  <si>
    <t>Lien Position</t>
  </si>
  <si>
    <t>Permanent Conventional  Lender:</t>
  </si>
  <si>
    <t>Property &amp; Liability Insurance</t>
  </si>
  <si>
    <t>Accounting &amp; Audit</t>
  </si>
  <si>
    <t>HCR Tax credit monitoring fee</t>
  </si>
  <si>
    <t>Advertising</t>
  </si>
  <si>
    <t>Garbage &amp; Trash Removal</t>
  </si>
  <si>
    <t xml:space="preserve">Other (Identify):  </t>
  </si>
  <si>
    <t>Fidelity Bond Insurance</t>
  </si>
  <si>
    <t>Rent-up &amp; conversion term</t>
  </si>
  <si>
    <t>Total Term</t>
  </si>
  <si>
    <t>Average Outstanding Balance</t>
  </si>
  <si>
    <t>Total Estimated Interest</t>
  </si>
  <si>
    <t>Community  Service Facility</t>
  </si>
  <si>
    <t>Community Service Facility</t>
  </si>
  <si>
    <t>AMI</t>
  </si>
  <si>
    <t>Max Rent per Applicable AMI Level</t>
  </si>
  <si>
    <t>Will you be electing the 9% LIHC Income Averaging Set-Aside?</t>
  </si>
  <si>
    <t>No</t>
  </si>
  <si>
    <t>CSF GSF</t>
  </si>
  <si>
    <t>CSF</t>
  </si>
  <si>
    <t>PERMANENT CONVENTIONAL LOAN  (if applicable)</t>
  </si>
  <si>
    <t xml:space="preserve">Subsidy Loan Source </t>
  </si>
  <si>
    <t xml:space="preserve">Site Work </t>
  </si>
  <si>
    <t xml:space="preserve">Off Site Work </t>
  </si>
  <si>
    <t>Demolition</t>
  </si>
  <si>
    <t>Environmental Remediation</t>
  </si>
  <si>
    <t>Subtotal Site Prep</t>
  </si>
  <si>
    <t>General Contractor's Insurance</t>
  </si>
  <si>
    <t>Performance Bond Premium</t>
  </si>
  <si>
    <t xml:space="preserve">Construction Costs  </t>
  </si>
  <si>
    <t>Soil Borings/Geotechnical</t>
  </si>
  <si>
    <t>Taxes</t>
  </si>
  <si>
    <t>Developer's Allowance</t>
  </si>
  <si>
    <t>Annual LIHTC Request</t>
  </si>
  <si>
    <t>Annual SLIHC Request</t>
  </si>
  <si>
    <t xml:space="preserve">Replacement Reserve  </t>
  </si>
  <si>
    <t>Bank  Construction Monitor</t>
  </si>
  <si>
    <t>Relocation Expenses</t>
  </si>
  <si>
    <t>Credit Allocation Fee</t>
  </si>
  <si>
    <t>Other DHCR/HCR Fees</t>
  </si>
  <si>
    <t>Other Soft Cost - identify below</t>
  </si>
  <si>
    <t>Other soft costs:</t>
  </si>
  <si>
    <t>Description of Cost</t>
  </si>
  <si>
    <t>Other construction costs:</t>
  </si>
  <si>
    <t>Other construction costs - identify below</t>
  </si>
  <si>
    <t>CONSTRUCTION PERIOD CONVENTIONAL LOAN  (if applicable)</t>
  </si>
  <si>
    <t>Annual Interest</t>
  </si>
  <si>
    <t>Construction  Period Conventional  Lender:</t>
  </si>
  <si>
    <t>% of loan assumed out on average</t>
  </si>
  <si>
    <t>Applicant Projected Expenses</t>
  </si>
  <si>
    <t>Sponsor Legal Fees</t>
  </si>
  <si>
    <t>Legal Fees</t>
  </si>
  <si>
    <t>Construction Interest  - Subsidy Loans</t>
  </si>
  <si>
    <t xml:space="preserve">Construction Interest -  Bank </t>
  </si>
  <si>
    <t xml:space="preserve"> Lender Fees &amp; Interest</t>
  </si>
  <si>
    <t>LIHTC/SLIHC Credit Application Fees</t>
  </si>
  <si>
    <t>Residential  Construction Interest</t>
  </si>
  <si>
    <t>Maintenance/Equipment</t>
  </si>
  <si>
    <t xml:space="preserve">Initial operating deficit </t>
  </si>
  <si>
    <t xml:space="preserve">Soft  Costs  </t>
  </si>
  <si>
    <t>Total Other soft costs:</t>
  </si>
  <si>
    <t>Subtotal  Contractor's Cost</t>
  </si>
  <si>
    <t>Total Hard Costs</t>
  </si>
  <si>
    <t>LIHC Pay-in</t>
  </si>
  <si>
    <t>SLIHC Pay-in</t>
  </si>
  <si>
    <t>Res.  Eligible Basis Amount</t>
  </si>
  <si>
    <t>Other Non-residential</t>
  </si>
  <si>
    <t xml:space="preserve">Other Non-residential </t>
  </si>
  <si>
    <t>CSF Eligible Basis  Amount</t>
  </si>
  <si>
    <t>Soft Cost Subtotal  1</t>
  </si>
  <si>
    <t>Soft Cost Subtotal  2</t>
  </si>
  <si>
    <t>Soft Cost Subtotal 3</t>
  </si>
  <si>
    <t>Other Non-Residential  Space</t>
  </si>
  <si>
    <t>Total Construction Basis</t>
  </si>
  <si>
    <t>Annual Interest Payment</t>
  </si>
  <si>
    <t xml:space="preserve"> Net Monthly Rent</t>
  </si>
  <si>
    <t xml:space="preserve"> Gross Rent</t>
  </si>
  <si>
    <t>Operating Reserves</t>
  </si>
  <si>
    <t>HCR Standards:</t>
  </si>
  <si>
    <t>TAX CREDIT WORKSHEET</t>
  </si>
  <si>
    <t>program</t>
  </si>
  <si>
    <t>yesno</t>
  </si>
  <si>
    <t>xxxs</t>
  </si>
  <si>
    <t>LIHTC (9%)</t>
  </si>
  <si>
    <t>X</t>
  </si>
  <si>
    <t>A. Project Details</t>
  </si>
  <si>
    <t>Select the Program/s that this Exhibit is being completed for:</t>
  </si>
  <si>
    <t>5.  Annual amount of credit requested by applicant:</t>
  </si>
  <si>
    <t>6.  Annual amount of credit per unit:</t>
  </si>
  <si>
    <t>7.  Anticipated credit equity price (per dollar):</t>
  </si>
  <si>
    <t>B.  Minimum Set-Aside Election (Check the applicable box below)</t>
  </si>
  <si>
    <t xml:space="preserve">1. At least 20% of the rental residential units in this development are rent-restricted, and to be occupied </t>
  </si>
  <si>
    <t>by individuals with incomes which are 50% or less of the area median.</t>
  </si>
  <si>
    <t xml:space="preserve">2. The project is located out side of New York City, and at least 40% of the rental residential units in </t>
  </si>
  <si>
    <t xml:space="preserve">this development are rent restricted and to be occupied by individuals whose income is 60% or less for </t>
  </si>
  <si>
    <t>LIHC, or 90% or less for SLIHC of the area median.</t>
  </si>
  <si>
    <t xml:space="preserve">4. The project is located in New York City, and at least 25% of the rental residential units in this </t>
  </si>
  <si>
    <t xml:space="preserve">development are rent restricted and to be occupied by individuals whose income is 60% or less for </t>
  </si>
  <si>
    <t>1a.</t>
  </si>
  <si>
    <t>Are the sites/buildings located in a Qualified Census Tract (QCT)?</t>
  </si>
  <si>
    <t>1b.</t>
  </si>
  <si>
    <t>QCT Number</t>
  </si>
  <si>
    <t>1c.</t>
  </si>
  <si>
    <t>Are all sites/buildings located in a QCT?</t>
  </si>
  <si>
    <t>2a.</t>
  </si>
  <si>
    <t>Are the sites/buildings located in a Difficult Development Area (DDA)?</t>
  </si>
  <si>
    <t>2b.</t>
  </si>
  <si>
    <t>Metro DDA Zip Code</t>
  </si>
  <si>
    <t>2c.</t>
  </si>
  <si>
    <t>Non-Metro DDA County</t>
  </si>
  <si>
    <t>Montgomery</t>
  </si>
  <si>
    <t>1.  Event</t>
  </si>
  <si>
    <t>2. Amount</t>
  </si>
  <si>
    <t>3. Projected Date</t>
  </si>
  <si>
    <t>4.  Use of Pay-In</t>
  </si>
  <si>
    <t>Total Capital Contribution</t>
  </si>
  <si>
    <t>Total Residential Unit Count</t>
  </si>
  <si>
    <t>Total Residential Square Footage</t>
  </si>
  <si>
    <t>A</t>
  </si>
  <si>
    <t>C</t>
  </si>
  <si>
    <t>D</t>
  </si>
  <si>
    <t>E</t>
  </si>
  <si>
    <t>F</t>
  </si>
  <si>
    <t>G</t>
  </si>
  <si>
    <t>H</t>
  </si>
  <si>
    <t>I</t>
  </si>
  <si>
    <t>Building #</t>
  </si>
  <si>
    <t>Address</t>
  </si>
  <si>
    <t># Total Units*</t>
  </si>
  <si>
    <t>% Affordable                        (F=D/E)</t>
  </si>
  <si>
    <t>Total Square Footage*</t>
  </si>
  <si>
    <t>% Affordable (I=G/H)</t>
  </si>
  <si>
    <t>% Affordable: Lower of Unit Count or Sq. Ft.</t>
  </si>
  <si>
    <t>TOTAL</t>
  </si>
  <si>
    <t>*   net of management units.</t>
  </si>
  <si>
    <t>county</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</si>
  <si>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</si>
  <si>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</si>
  <si>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</si>
  <si>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</si>
  <si>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</si>
  <si>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</si>
  <si>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</si>
  <si>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</si>
  <si>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</si>
  <si>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</si>
  <si>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</si>
  <si>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</si>
  <si>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</si>
  <si>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</si>
  <si>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</si>
  <si>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</si>
  <si>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</si>
  <si>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</si>
  <si>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</si>
  <si>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</si>
  <si>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</si>
  <si>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</si>
  <si>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</si>
  <si>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</si>
  <si>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</si>
  <si>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</si>
  <si>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</si>
  <si>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</si>
  <si>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</si>
  <si>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</si>
  <si>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</si>
  <si>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</si>
  <si>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</si>
  <si>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</si>
  <si>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</si>
  <si>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</si>
  <si>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</si>
  <si>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</si>
  <si>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</si>
  <si>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</si>
  <si>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</si>
  <si>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</si>
  <si>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</si>
  <si>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</si>
  <si>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</si>
  <si>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</si>
  <si>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</si>
  <si>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</si>
  <si>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 Lawrence</t>
  </si>
  <si>
    <t>Steuben</t>
  </si>
  <si>
    <t>Suffolk</t>
  </si>
  <si>
    <t>Sullivan</t>
  </si>
  <si>
    <t>Tioga</t>
  </si>
  <si>
    <t>Tompkins</t>
  </si>
  <si>
    <t>Ulster</t>
  </si>
  <si>
    <t>Warren</t>
  </si>
  <si>
    <t>Washington</t>
  </si>
  <si>
    <t>Wayne</t>
  </si>
  <si>
    <t>Westchester</t>
  </si>
  <si>
    <t>Wyoming</t>
  </si>
  <si>
    <t>Yates</t>
  </si>
  <si>
    <t xml:space="preserve">Replacement Reserves  </t>
  </si>
  <si>
    <t xml:space="preserve">Operating Reserve </t>
  </si>
  <si>
    <t>Subsidy Only Projects</t>
  </si>
  <si>
    <t>Projects with LIHC/SLIHC</t>
  </si>
  <si>
    <t>Operating Reserve</t>
  </si>
  <si>
    <t xml:space="preserve">Replacement Reserve </t>
  </si>
  <si>
    <t>No requirement.  HTF cannot fund operating reserves. May be considered , if there are eligible project sources to cover the cost.</t>
  </si>
  <si>
    <t>Maximum Allowable Developer Fee:</t>
  </si>
  <si>
    <t>Office Supplies /Equipment</t>
  </si>
  <si>
    <t>Annual Reserve Requirements</t>
  </si>
  <si>
    <t>None</t>
  </si>
  <si>
    <t>.5% of total construction costs capped at $800 per unit for family projects and $400 per unit for senior projects. Trend up contributions by 3% annually.</t>
  </si>
  <si>
    <t>Residential NSF</t>
  </si>
  <si>
    <t>CSF NSF</t>
  </si>
  <si>
    <t>RESIDENTIAL RESERVE CAPITALIZATION REQUIREMENTS</t>
  </si>
  <si>
    <t>MAXIMUM DEVELOPER FEE CALCULATION</t>
  </si>
  <si>
    <t>HCR Subsidy</t>
  </si>
  <si>
    <t>Subtotal  Repairs &amp; Maintenance</t>
  </si>
  <si>
    <t>Subtotal  Utilities</t>
  </si>
  <si>
    <t>Subtotal  Administrative</t>
  </si>
  <si>
    <t>Subtotal  Taxes &amp; Insurance</t>
  </si>
  <si>
    <t>Taxes &amp; Insurance</t>
  </si>
  <si>
    <t>Lender Requirements</t>
  </si>
  <si>
    <t>Income to Expense Ratio ( SONYMA  Min. 1.05)</t>
  </si>
  <si>
    <t>Tier 7</t>
  </si>
  <si>
    <t>Tier 8</t>
  </si>
  <si>
    <t xml:space="preserve">Subsidy Loan  Debt Service </t>
  </si>
  <si>
    <t>B</t>
  </si>
  <si>
    <t>Grants</t>
  </si>
  <si>
    <t>Amount of Non-Qualified Non-recourse Financing</t>
  </si>
  <si>
    <t>Amount of Subsidized Federal Assistance (optional)</t>
  </si>
  <si>
    <t>Non-Qualifying Excess Expense or Higher Quality Units</t>
  </si>
  <si>
    <t>Reduction for Historic Tax Credits-residential portion only</t>
  </si>
  <si>
    <t>Total Eligible Rehab Basis Prior to High Cost Increase (Boost)</t>
  </si>
  <si>
    <t xml:space="preserve">High Cost Boost (30% boost if located in QCT or DDA) </t>
  </si>
  <si>
    <t xml:space="preserve">Total Eligible Basis of Acquisition and Construction/Rehab Improvements </t>
  </si>
  <si>
    <t>Applicable Fraction (based on lesser of square footage or units)</t>
  </si>
  <si>
    <t>AFP Date Used:</t>
  </si>
  <si>
    <t>Total ACQUISITION Basis</t>
  </si>
  <si>
    <t>Total Eligible Basis of Acquisition</t>
  </si>
  <si>
    <t>Maximum LIHTC Credit Allocation based on Qualified Basis</t>
  </si>
  <si>
    <t>If no, enter the adjusted percentage boost for the project</t>
  </si>
  <si>
    <t xml:space="preserve">3. Income Averaging Election: at least 40% of the units must be rent-restricted and occupied  by individuals  </t>
  </si>
  <si>
    <t>whose incomes do not exceed the average designated imputed income, which cannot exceed 60% AMI.</t>
  </si>
  <si>
    <t>LIHTC (9%) and SLIHC</t>
  </si>
  <si>
    <t>1.  Number of qualified low-income buildings in project:</t>
  </si>
  <si>
    <t>2.  Number of residential units in project:</t>
  </si>
  <si>
    <t>3.  Number of LIHC units in project:</t>
  </si>
  <si>
    <t>CIF Funds Used</t>
  </si>
  <si>
    <t>Other Non-res. GSF</t>
  </si>
  <si>
    <t>Other Non-res. NSF</t>
  </si>
  <si>
    <t xml:space="preserve">Reserves </t>
  </si>
  <si>
    <t>If SLIHC is not requested, leave SLIHC fields/ columns blank</t>
  </si>
  <si>
    <t>Total Project NSF</t>
  </si>
  <si>
    <t>C.  Declaration of Public Subsidies</t>
  </si>
  <si>
    <t>Applicant Name:</t>
  </si>
  <si>
    <t>A.</t>
  </si>
  <si>
    <t>B.</t>
  </si>
  <si>
    <t>C.</t>
  </si>
  <si>
    <t>D.</t>
  </si>
  <si>
    <t>Funding Source</t>
  </si>
  <si>
    <t>Program</t>
  </si>
  <si>
    <t>Type</t>
  </si>
  <si>
    <t>Value</t>
  </si>
  <si>
    <t>D.  QCT/DDA Information</t>
  </si>
  <si>
    <t>E.  Investor Pay-In Schedule</t>
  </si>
  <si>
    <t># LIHTC Units*</t>
  </si>
  <si>
    <t>Total LIHTC Units Sq. Ft.</t>
  </si>
  <si>
    <t>Reductions to LIHTC Eligible Basis</t>
  </si>
  <si>
    <t>F.  Applicable Fraction - LIHTC ACQUISITION</t>
  </si>
  <si>
    <t>9% LIHTC ACQUISITION Applicable  Fraction Determination</t>
  </si>
  <si>
    <t>Reductions to LIHTC ACQUISITION Eligible Basis</t>
  </si>
  <si>
    <t>DEVELOPER ALLOWANCE CALCULATION</t>
  </si>
  <si>
    <t>9. Total project syndication/partnership costs payable from equity proceeds:</t>
  </si>
  <si>
    <t>10.  Net equity proceeds  to be provided to the project:</t>
  </si>
  <si>
    <t xml:space="preserve">8.  Anticipated  gross equity  proceeds: </t>
  </si>
  <si>
    <t>Manager Salary</t>
  </si>
  <si>
    <t>NOTE: Please see instructions on the Development  Budget and  Operating Expenses tabs relative to updated Replacement</t>
  </si>
  <si>
    <t>and Operating reserve requirements</t>
  </si>
  <si>
    <t>Maximum Total SLIHC Credit Allocation:</t>
  </si>
  <si>
    <t>AFP Used:</t>
  </si>
  <si>
    <t>Maximum Total LIHTC Credit Allocation:</t>
  </si>
  <si>
    <t>Qualified Basis</t>
  </si>
  <si>
    <t xml:space="preserve"> Increase in Eligible Basis for High Cost </t>
  </si>
  <si>
    <t>LIHTC/SLIHC Qualified Building Information</t>
  </si>
  <si>
    <t># SLIHC Units*</t>
  </si>
  <si>
    <t>Total SLIHC Units Sq. Ft.</t>
  </si>
  <si>
    <t>Reductions to SLIHC Eligible Basis</t>
  </si>
  <si>
    <t>Maximum SLIHC Credit Allocation based on Qualified Basis</t>
  </si>
  <si>
    <t>9% SLIHC ACQUISITION Applicable Fraction Determination</t>
  </si>
  <si>
    <t>Reductions to SLIHC ACQUISITION Eligible Basis</t>
  </si>
  <si>
    <t>CSF Construction Interest</t>
  </si>
  <si>
    <t>Other Non-residential Construction Interest</t>
  </si>
  <si>
    <t>Summary</t>
  </si>
  <si>
    <t>Supplemental Management Fee</t>
  </si>
  <si>
    <t>Total Acquisition Basis</t>
  </si>
  <si>
    <t>Loan</t>
  </si>
  <si>
    <t>Equity</t>
  </si>
  <si>
    <t>Other</t>
  </si>
  <si>
    <t>HCR Tax Credit Monitoring Fees</t>
  </si>
  <si>
    <t>1. multiply the 60% Maximum rent for each unit size X .005 to get monthly fee</t>
  </si>
  <si>
    <t>3. add the appropriate annual fee across all unit sizes and enter in Cell B4</t>
  </si>
  <si>
    <t xml:space="preserve">For LIHTC regulated units:  </t>
  </si>
  <si>
    <t>For Units regulated by SLIHC only:</t>
  </si>
  <si>
    <t>Follow the procedure above, except use the 90% maximum SLIHC rent for each unit size to perform the calculation.</t>
  </si>
  <si>
    <t>LIHTC &amp; SLIHC</t>
  </si>
  <si>
    <t>Total NSF</t>
  </si>
  <si>
    <t>Total Developer Costs</t>
  </si>
  <si>
    <t>RES</t>
  </si>
  <si>
    <t>Other NR</t>
  </si>
  <si>
    <t>N/A</t>
  </si>
  <si>
    <t>Community Service Facility Gross Square Footage</t>
  </si>
  <si>
    <t>Residential Vacancy Rate</t>
  </si>
  <si>
    <t>CSF Vacancy Rate</t>
  </si>
  <si>
    <t>Project Name:</t>
  </si>
  <si>
    <t xml:space="preserve">Other Non-residential  Gross Square Footage </t>
  </si>
  <si>
    <t>Other Non-residential  Vacancy Rate</t>
  </si>
  <si>
    <t>CSF + Non-Residential Income as % of Total</t>
  </si>
  <si>
    <t>Management Fee Expense Inflation</t>
  </si>
  <si>
    <t>Please complete this model for the rental component of your project.</t>
  </si>
  <si>
    <t>LIHC /SLIHC  projects:</t>
  </si>
  <si>
    <t>partnership cost to each</t>
  </si>
  <si>
    <t>F.  Applicable Fraction - LIHTC  CONSTRUCTION/REHABILITATION</t>
  </si>
  <si>
    <t>9% LIHTC Construction/  Rehabilitation Applicable Fraction Determination</t>
  </si>
  <si>
    <t>9% SLIHC Construction/ Rehabilitation Applicable Fraction Determination</t>
  </si>
  <si>
    <t>(Acquisition and Construction)</t>
  </si>
  <si>
    <t xml:space="preserve">G.  Applicable Fraction - SLIHC CONSTRUCTION/REHABILITATION </t>
  </si>
  <si>
    <t xml:space="preserve">G.  Applicable Fraction - SLIHC ACQUISITION </t>
  </si>
  <si>
    <t xml:space="preserve">DO NOT ENTER FORMULAS INTO FILLABLE FIELDS IN THE WORKBOOK. </t>
  </si>
  <si>
    <t>Project County:</t>
  </si>
  <si>
    <t>%</t>
  </si>
  <si>
    <t xml:space="preserve">Other (identify): </t>
  </si>
  <si>
    <t xml:space="preserve">Construction/Perm Loan Origination Fees </t>
  </si>
  <si>
    <t>per square foot</t>
  </si>
  <si>
    <t xml:space="preserve">Hard  Costs  </t>
  </si>
  <si>
    <t>No requirement.                           HTF can capitalize a replacement reserve if found necessary.</t>
  </si>
  <si>
    <t>Heating Type:</t>
  </si>
  <si>
    <t>Total Other Construction</t>
  </si>
  <si>
    <t>Applicant:</t>
  </si>
  <si>
    <t>Total Developer</t>
  </si>
  <si>
    <t>Service Facility</t>
  </si>
  <si>
    <t>Costs</t>
  </si>
  <si>
    <t>Non-residential</t>
  </si>
  <si>
    <t xml:space="preserve">Other </t>
  </si>
  <si>
    <t>Res.  Eligible Basis</t>
  </si>
  <si>
    <t>CSF Eligible Basis</t>
  </si>
  <si>
    <t>Max Allowable Developer Fee:</t>
  </si>
  <si>
    <t>% of Total Income</t>
  </si>
  <si>
    <t>subtotal</t>
  </si>
  <si>
    <t>Date:</t>
  </si>
  <si>
    <t>If more than 4 subsidy loans, combine loans with same terms (e.g. all  0% interest deferred loans etc.) - list each source on the Subsidy loan source line, &amp; enter the  total  of the loans for loan amount.</t>
  </si>
  <si>
    <t>4.  Number of SLIHC units in project:</t>
  </si>
  <si>
    <t>This Section must be completed for all LIHTC/SLIHC projects. Identify all Federal, State and local government  subsidies, including 9% LIHTC and/or SLIHC which will be applied to the project.</t>
  </si>
  <si>
    <t>allocate 50% of syndication/</t>
  </si>
  <si>
    <t>Qualified HH    Income Limit    (AMI)*</t>
  </si>
  <si>
    <t>Qualified HH     Income Limit     (AMI)*</t>
  </si>
  <si>
    <t>Annual Rent/Per SF</t>
  </si>
  <si>
    <t>SLIHC Pay-in:</t>
  </si>
  <si>
    <t>Regulatory Term (years)</t>
  </si>
  <si>
    <t>Heating Type</t>
  </si>
  <si>
    <t>Subtotal  Repairs &amp; Maint</t>
  </si>
  <si>
    <t>Total Expenses Net of Mgmt Fee</t>
  </si>
  <si>
    <t>Total Op Exp and Reserves</t>
  </si>
  <si>
    <t>2020 Incomes</t>
  </si>
  <si>
    <t>2020 FMRs</t>
  </si>
  <si>
    <t>2020 Area Median Income</t>
  </si>
  <si>
    <t>2020 INCOME</t>
  </si>
  <si>
    <t>2020 Area Median Income check</t>
  </si>
  <si>
    <t>Preservation rehab project only : $1,000  per unit.                             $0 required for all other LIHC/SLIHC projects</t>
  </si>
  <si>
    <r>
      <t xml:space="preserve">less 60 Units:                                         6 Months of operating expenses &amp; hard debt service.        </t>
    </r>
    <r>
      <rPr>
        <u/>
        <sz val="12"/>
        <rFont val="Calibri"/>
        <family val="2"/>
        <scheme val="minor"/>
      </rPr>
      <t xml:space="preserve"> </t>
    </r>
  </si>
  <si>
    <t>60 units or more:                                          3 Months of operating expenses &amp; hard debt service</t>
  </si>
  <si>
    <t>HCR Tax Credit Monitoring Fee</t>
  </si>
  <si>
    <t>3% gross rent annually required until reserve balance reaches 50% gross rent; if falls below in any year, 50% contributions must resume. Trend up contributions by  2% annually in pro-forma.</t>
  </si>
  <si>
    <t>$250 per unit new construction, $300 per unit rehabilitation, escalating at 3% annually.</t>
  </si>
  <si>
    <t>2. multiply monthly fee for each unit size x 12 to get annual fee for each unit size</t>
  </si>
  <si>
    <t>1.</t>
  </si>
  <si>
    <t>2.</t>
  </si>
  <si>
    <t>3.</t>
  </si>
  <si>
    <t>4.</t>
  </si>
  <si>
    <t>5.</t>
  </si>
  <si>
    <t>6.</t>
  </si>
  <si>
    <t>7.</t>
  </si>
  <si>
    <t>8.</t>
  </si>
  <si>
    <t>9.</t>
  </si>
  <si>
    <t>10.</t>
  </si>
  <si>
    <t>11.</t>
  </si>
  <si>
    <t>The amount of the requested HOME must be in compliance with the maximum per project amounts specified in HCR’s term sheet for HOME. (UW)</t>
  </si>
  <si>
    <t>The amount of the requested HOME must be in compliance with the maximum per unit amounts per the HOME Program Subsidy Limits. (UW)</t>
  </si>
  <si>
    <t>In a rental project of 5 or more units, 20% of the HOME-assisted units must be affordable to households at or below 50% AMI. (UW)</t>
  </si>
  <si>
    <t>The HOME rents must be below the High HOME rent. (UW)</t>
  </si>
  <si>
    <t>In a rental project of 5 or more units, the HOME rents must be below the low HOME rent on 20% of the HOME-assisted units. (UW)</t>
  </si>
  <si>
    <t>The application must indicate that HOME funds will be used for eligible activities in accordance with 24 CFR 92.205. (B-1)</t>
  </si>
  <si>
    <t>The application must indicate that HOME will not be used for any of the prohibited activities listed in 24 CFR 92.214. (B-1)</t>
  </si>
  <si>
    <t>If the project is occupied, the application must indicate that displacement, relocation and acquisition will be in accordance with 24 CFR 93.352. (B-2, B-3, G-8)</t>
  </si>
  <si>
    <t>HOME ELIGIBILITY - consult  CPM Section 2.04 for further guidance</t>
  </si>
  <si>
    <t>The proposed HOME regulatory period must be in accordance with 24 CFR 92.252(e). (B-1)</t>
  </si>
  <si>
    <t>The applicant can be a municipality that is not a HUD designated participating jurisdiction (or a member of a HUD-designated consortium). (A-2)</t>
  </si>
  <si>
    <t>All HOME units must be occupied by households at or below 60% AMI. (UW)</t>
  </si>
  <si>
    <t>Enter annual M&amp;O expenses for the entire project including CSF, and other non-residential  space</t>
  </si>
  <si>
    <t>If tax does not trend 3%, over-write the % or over-write each year on line 29</t>
  </si>
  <si>
    <t>Operating Expense Inflation (Excluding Mgmt. Fee)</t>
  </si>
  <si>
    <t xml:space="preserve">LIHC Income Averaging Summary </t>
  </si>
  <si>
    <t>NOTE: Real Estate cost must be manually entered on the cash flow proforma tab, line 29, consistent with anticipated PILOT terms or 581-A.</t>
  </si>
  <si>
    <r>
      <t xml:space="preserve"> CASH FLOW - </t>
    </r>
    <r>
      <rPr>
        <b/>
        <sz val="12"/>
        <color theme="5" tint="-0.249977111117893"/>
        <rFont val="Calibri"/>
        <family val="2"/>
        <scheme val="minor"/>
      </rPr>
      <t>Note: Real Estate Tax amounts on line 29 can be overwritten in the event your tax figures do not trend at 3%</t>
    </r>
  </si>
  <si>
    <r>
      <t xml:space="preserve">Developer fee can only be claimed if the project includes tax credits, and can be claimed only on residential or Section 42 eligible community service facility development (CSF) costs. It is limited to a maximum of 10% of the total acquisition plus a maximum of 15% of soft costs and hard costs, </t>
    </r>
    <r>
      <rPr>
        <b/>
        <sz val="12"/>
        <rFont val="Calibri"/>
        <family val="2"/>
        <scheme val="minor"/>
      </rPr>
      <t>excluding</t>
    </r>
    <r>
      <rPr>
        <sz val="12"/>
        <rFont val="Calibri"/>
        <family val="2"/>
        <scheme val="minor"/>
      </rPr>
      <t xml:space="preserve"> contingency, and initial operating deficit, supplemental management fee, marketing and maintenance/equipment expenses.  Please refer to CPM Section 5 for further restrictions on developer fee.</t>
    </r>
  </si>
  <si>
    <r>
      <t xml:space="preserve">Only allowed on projects that do not involve financing with State or federal Low Income Housing Tax Credits. The Developer’s Allowance is limited to 10% of soft cost and hard costs, </t>
    </r>
    <r>
      <rPr>
        <b/>
        <sz val="12"/>
        <rFont val="Calibri"/>
        <family val="2"/>
      </rPr>
      <t xml:space="preserve">excluding </t>
    </r>
    <r>
      <rPr>
        <sz val="12"/>
        <rFont val="Calibri"/>
        <family val="2"/>
      </rPr>
      <t xml:space="preserve"> acquisition, soft cost contingency, hard cost contingency,  initial operating deficit, supplemental management fee, marketing and maintenance and equipment purchase. The maximum Developer’s Allowance allowed will be reduced by any housing consultant fee budgeted on line 23 Other Soft Costs.</t>
    </r>
  </si>
  <si>
    <t>11.  Net equity pay-ins to be provided to the project:</t>
  </si>
  <si>
    <t>Total Development Costs</t>
  </si>
  <si>
    <t>na</t>
  </si>
  <si>
    <t>Proposed</t>
  </si>
  <si>
    <t>Net</t>
  </si>
  <si>
    <t>Financing Term Months</t>
  </si>
  <si>
    <t>LIHTC Pay-in:</t>
  </si>
  <si>
    <t>Soft Cost Contingency  (5% of soft costs)</t>
  </si>
  <si>
    <t>Financing Term Years</t>
  </si>
  <si>
    <t>Staff Salaries</t>
  </si>
  <si>
    <t>Grant</t>
  </si>
  <si>
    <t>RESIDENTIAL DEBT SERVICE SUBSIDY</t>
  </si>
  <si>
    <t>Residential Debt Service Subsidy</t>
  </si>
  <si>
    <t>Total Residential Operating Income</t>
  </si>
  <si>
    <t>v2.4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</si>
</sst>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dd\-mmm\-yy_)"/>
    <numFmt numFmtId="166" formatCode="0.0%"/>
    <numFmt numFmtId="167" formatCode="_(&quot;$&quot;* #,##0_);_(&quot;$&quot;* \(#,##0\);_(&quot;$&quot;* &quot;-&quot;??_);_(@_)"/>
    <numFmt numFmtId="168" formatCode="&quot;$&quot;#,##0"/>
    <numFmt numFmtId="169" formatCode="_(* #,##0_);_(* \(#,##0\);_(* &quot;-&quot;??_);_(@_)"/>
    <numFmt numFmtId="170" formatCode="&quot;$&quot;#,##0.00"/>
    <numFmt numFmtId="171" formatCode="0.00000"/>
    <numFmt numFmtId="172" formatCode="&quot;$&quot;#,##0.0000"/>
    <numFmt numFmtId="173" formatCode="&quot;$&quot;#,##0.0_);\(&quot;$&quot;#,##0.0\)"/>
    <numFmt numFmtId="174" formatCode="&quot;From   &quot;#,##0"/>
    <numFmt numFmtId="175" formatCode="&quot;to   &quot;#,##0"/>
    <numFmt numFmtId="176" formatCode="&quot;CY&quot;0\ &quot;NYC HUD INCOME LIMITS&quot;"/>
    <numFmt numFmtId="177" formatCode="0&quot;-person&quot;"/>
    <numFmt numFmtId="178" formatCode="&quot;Income Limits &amp; Rents at &quot;0%\ &quot;AMI&quot;"/>
    <numFmt numFmtId="179" formatCode="&quot;Income Limits &amp; Rents at &quot;0%\ &quot;of AMI&quot;"/>
    <numFmt numFmtId="180" formatCode="0%\ &quot;of AMI&quot;"/>
    <numFmt numFmtId="181" formatCode="&quot;Units: &quot;0"/>
    <numFmt numFmtId="182" formatCode="mm/dd/yy;@"/>
    <numFmt numFmtId="183" formatCode="m/d/yy;@"/>
    <numFmt numFmtId="184" formatCode="&quot;$&quot;#,##0.0000_);[Red]\(&quot;$&quot;#,##0.0000\)"/>
    <numFmt numFmtId="185" formatCode="mm/yyyy"/>
    <numFmt numFmtId="186" formatCode="[$-409]mmm\-yy;@"/>
    <numFmt numFmtId="187" formatCode="[$-409]mmmm\-yy;@"/>
    <numFmt numFmtId="188" formatCode=";;;"/>
    <numFmt numFmtId="189" formatCode="0;\-0;;@"/>
    <numFmt numFmtId="190" formatCode="0.000%"/>
  </numFmts>
  <fonts count="107">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2"/>
      <name val="Arial"/>
      <family val="2"/>
    </font>
    <font>
      <sz val="12"/>
      <name val="Arial"/>
      <family val="2"/>
    </font>
    <font>
      <i/>
      <sz val="12"/>
      <name val="Arial"/>
      <family val="2"/>
    </font>
    <font>
      <sz val="10"/>
      <name val="Arial"/>
      <family val="2"/>
    </font>
    <font>
      <sz val="14"/>
      <name val="Helvetica"/>
      <family val="2"/>
    </font>
    <font>
      <b/>
      <sz val="14"/>
      <name val="Arial"/>
      <family val="2"/>
    </font>
    <font>
      <b/>
      <sz val="10"/>
      <name val="Helvetica"/>
      <family val="2"/>
    </font>
    <font>
      <sz val="12"/>
      <color indexed="12"/>
      <name val="Arial"/>
      <family val="2"/>
    </font>
    <font>
      <sz val="8"/>
      <name val="MS Sans Serif"/>
      <family val="2"/>
    </font>
    <font>
      <sz val="10"/>
      <name val="MS Sans Serif"/>
      <family val="2"/>
    </font>
    <font>
      <sz val="10"/>
      <name val="Futura Md BT"/>
      <family val="2"/>
    </font>
    <font>
      <sz val="11"/>
      <color theme="1"/>
      <name val="Times New Roman"/>
      <family val="2"/>
    </font>
    <font>
      <sz val="11"/>
      <color indexed="8"/>
      <name val="Calibri"/>
      <family val="2"/>
    </font>
    <font>
      <sz val="12"/>
      <name val="Calibri"/>
      <family val="2"/>
      <scheme val="minor"/>
    </font>
    <font>
      <sz val="10"/>
      <name val="Calibri"/>
      <family val="2"/>
      <scheme val="minor"/>
    </font>
    <font>
      <b/>
      <sz val="12"/>
      <name val="Calibri"/>
      <family val="2"/>
      <scheme val="minor"/>
    </font>
    <font>
      <b/>
      <sz val="10"/>
      <name val="Calibri"/>
      <family val="2"/>
      <scheme val="minor"/>
    </font>
    <font>
      <b/>
      <sz val="12"/>
      <color indexed="8"/>
      <name val="Calibri"/>
      <family val="2"/>
      <scheme val="minor"/>
    </font>
    <font>
      <b/>
      <sz val="10"/>
      <color indexed="8"/>
      <name val="Calibri"/>
      <family val="2"/>
      <scheme val="minor"/>
    </font>
    <font>
      <b/>
      <i/>
      <sz val="10"/>
      <color indexed="8"/>
      <name val="Calibri"/>
      <family val="2"/>
      <scheme val="minor"/>
    </font>
    <font>
      <sz val="12"/>
      <color indexed="8"/>
      <name val="Calibri"/>
      <family val="2"/>
      <scheme val="minor"/>
    </font>
    <font>
      <i/>
      <sz val="10"/>
      <color indexed="8"/>
      <name val="Calibri"/>
      <family val="2"/>
      <scheme val="minor"/>
    </font>
    <font>
      <b/>
      <i/>
      <sz val="12"/>
      <color indexed="8"/>
      <name val="Calibri"/>
      <family val="2"/>
      <scheme val="minor"/>
    </font>
    <font>
      <sz val="10"/>
      <color indexed="8"/>
      <name val="Calibri"/>
      <family val="2"/>
      <scheme val="minor"/>
    </font>
    <font>
      <i/>
      <sz val="10"/>
      <name val="Calibri"/>
      <family val="2"/>
      <scheme val="minor"/>
    </font>
    <font>
      <sz val="12"/>
      <color rgb="FFFF0000"/>
      <name val="Calibri"/>
      <family val="2"/>
      <scheme val="minor"/>
    </font>
    <font>
      <i/>
      <sz val="12"/>
      <name val="Calibri"/>
      <family val="2"/>
      <scheme val="minor"/>
    </font>
    <font>
      <b/>
      <u/>
      <sz val="12"/>
      <color indexed="8"/>
      <name val="Calibri"/>
      <family val="2"/>
      <scheme val="minor"/>
    </font>
    <font>
      <sz val="11"/>
      <name val="Calibri"/>
      <family val="2"/>
      <scheme val="minor"/>
    </font>
    <font>
      <b/>
      <i/>
      <sz val="10"/>
      <name val="Calibri"/>
      <family val="2"/>
      <scheme val="minor"/>
    </font>
    <font>
      <b/>
      <u/>
      <sz val="18"/>
      <color indexed="8"/>
      <name val="Calibri"/>
      <family val="2"/>
      <scheme val="minor"/>
    </font>
    <font>
      <sz val="11"/>
      <color indexed="8"/>
      <name val="Calibri"/>
      <family val="2"/>
      <scheme val="minor"/>
    </font>
    <font>
      <b/>
      <i/>
      <u/>
      <sz val="12"/>
      <color indexed="8"/>
      <name val="Calibri"/>
      <family val="2"/>
      <scheme val="minor"/>
    </font>
    <font>
      <sz val="12"/>
      <color theme="5"/>
      <name val="Calibri"/>
      <family val="2"/>
      <scheme val="minor"/>
    </font>
    <font>
      <sz val="12"/>
      <color rgb="FF0000FF"/>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u/>
      <sz val="12"/>
      <name val="Calibri"/>
      <family val="2"/>
      <scheme val="minor"/>
    </font>
    <font>
      <b/>
      <sz val="12"/>
      <color theme="1"/>
      <name val="Calibri"/>
      <family val="2"/>
      <scheme val="minor"/>
    </font>
    <font>
      <b/>
      <sz val="11"/>
      <name val="Calibri"/>
      <family val="2"/>
      <scheme val="minor"/>
    </font>
    <font>
      <i/>
      <sz val="11"/>
      <name val="Calibri"/>
      <family val="2"/>
      <scheme val="minor"/>
    </font>
    <font>
      <u/>
      <sz val="12"/>
      <name val="Calibri"/>
      <family val="2"/>
      <scheme val="minor"/>
    </font>
    <font>
      <b/>
      <i/>
      <sz val="12"/>
      <name val="Calibri"/>
      <family val="2"/>
      <scheme val="minor"/>
    </font>
    <font>
      <b/>
      <i/>
      <sz val="14"/>
      <name val="Calibri"/>
      <family val="2"/>
      <scheme val="minor"/>
    </font>
    <font>
      <b/>
      <u/>
      <sz val="12"/>
      <color rgb="FFFF0000"/>
      <name val="Calibri"/>
      <family val="2"/>
      <scheme val="minor"/>
    </font>
    <font>
      <sz val="9"/>
      <name val="Calibri"/>
      <family val="2"/>
      <scheme val="minor"/>
    </font>
    <font>
      <sz val="12"/>
      <color indexed="12"/>
      <name val="Calibri"/>
      <family val="2"/>
      <scheme val="minor"/>
    </font>
    <font>
      <i/>
      <sz val="11"/>
      <color indexed="8"/>
      <name val="Calibri"/>
      <family val="2"/>
      <scheme val="minor"/>
    </font>
    <font>
      <b/>
      <sz val="11"/>
      <color indexed="8"/>
      <name val="Calibri"/>
      <family val="2"/>
      <scheme val="minor"/>
    </font>
    <font>
      <strike/>
      <sz val="12"/>
      <name val="Calibri"/>
      <family val="2"/>
      <scheme val="minor"/>
    </font>
    <font>
      <b/>
      <sz val="12"/>
      <color rgb="FFFF0000"/>
      <name val="Calibri"/>
      <family val="2"/>
      <scheme val="minor"/>
    </font>
    <font>
      <b/>
      <i/>
      <u/>
      <sz val="12"/>
      <color rgb="FFFF0000"/>
      <name val="Calibri"/>
      <family val="2"/>
      <scheme val="minor"/>
    </font>
    <font>
      <strike/>
      <sz val="12"/>
      <color indexed="8"/>
      <name val="Calibri"/>
      <family val="2"/>
      <scheme val="minor"/>
    </font>
    <font>
      <strike/>
      <sz val="10"/>
      <name val="Calibri"/>
      <family val="2"/>
      <scheme val="minor"/>
    </font>
    <font>
      <sz val="12"/>
      <color rgb="FFFF0000"/>
      <name val="Arial"/>
      <family val="2"/>
    </font>
    <font>
      <i/>
      <sz val="14"/>
      <name val="Calibri"/>
      <family val="2"/>
      <scheme val="minor"/>
    </font>
    <font>
      <i/>
      <sz val="12"/>
      <color indexed="8"/>
      <name val="Calibri"/>
      <family val="2"/>
      <scheme val="minor"/>
    </font>
    <font>
      <b/>
      <sz val="12"/>
      <color rgb="FF000000"/>
      <name val="Calibri"/>
      <family val="2"/>
      <scheme val="minor"/>
    </font>
    <font>
      <sz val="12"/>
      <color indexed="10"/>
      <name val="Calibri"/>
      <family val="2"/>
      <scheme val="minor"/>
    </font>
    <font>
      <sz val="9"/>
      <color rgb="FFFF0000"/>
      <name val="Calibri"/>
      <family val="2"/>
      <scheme val="minor"/>
    </font>
    <font>
      <b/>
      <sz val="11"/>
      <name val="Arial"/>
      <family val="2"/>
    </font>
    <font>
      <b/>
      <sz val="10"/>
      <name val="Arial"/>
      <family val="2"/>
    </font>
    <font>
      <b/>
      <u/>
      <sz val="12"/>
      <name val="Times New Roman"/>
      <family val="1"/>
    </font>
    <font>
      <sz val="12"/>
      <name val="Calibri"/>
      <family val="2"/>
    </font>
    <font>
      <b/>
      <sz val="12"/>
      <name val="Calibri"/>
      <family val="2"/>
    </font>
    <font>
      <sz val="12"/>
      <color rgb="FF000000"/>
      <name val="Calibri"/>
      <family val="2"/>
      <scheme val="minor"/>
    </font>
    <font>
      <sz val="10"/>
      <color rgb="FFFF0000"/>
      <name val="Calibri"/>
      <family val="2"/>
      <scheme val="minor"/>
    </font>
    <font>
      <b/>
      <u/>
      <sz val="11"/>
      <name val="Calibri"/>
      <family val="2"/>
    </font>
    <font>
      <sz val="11"/>
      <color rgb="FFC00000"/>
      <name val="Calibri"/>
      <family val="2"/>
      <scheme val="minor"/>
    </font>
    <font>
      <b/>
      <i/>
      <sz val="11"/>
      <name val="Calibri"/>
      <family val="2"/>
      <scheme val="minor"/>
    </font>
    <font>
      <b/>
      <sz val="12"/>
      <color rgb="FF0000FF"/>
      <name val="Calibri"/>
      <family val="2"/>
      <scheme val="minor"/>
    </font>
    <font>
      <sz val="12"/>
      <color rgb="FFC00000"/>
      <name val="Calibri"/>
      <family val="2"/>
      <scheme val="minor"/>
    </font>
    <font>
      <sz val="9"/>
      <color indexed="81"/>
      <name val="Tahoma"/>
      <family val="2"/>
    </font>
    <font>
      <b/>
      <sz val="9"/>
      <color indexed="81"/>
      <name val="Tahoma"/>
      <family val="2"/>
    </font>
    <font>
      <sz val="11"/>
      <color indexed="81"/>
      <name val="Calibri"/>
      <family val="2"/>
      <scheme val="minor"/>
    </font>
    <font>
      <b/>
      <i/>
      <sz val="14"/>
      <color indexed="8"/>
      <name val="Calibri"/>
      <family val="2"/>
      <scheme val="minor"/>
    </font>
    <font>
      <sz val="14"/>
      <name val="Arial"/>
      <family val="2"/>
    </font>
    <font>
      <b/>
      <i/>
      <sz val="12"/>
      <name val="Arial"/>
      <family val="2"/>
    </font>
    <font>
      <sz val="12"/>
      <color indexed="81"/>
      <name val="Calibri"/>
      <family val="2"/>
      <scheme val="minor"/>
    </font>
    <font>
      <i/>
      <sz val="12"/>
      <color rgb="FFFF0000"/>
      <name val="Calibri"/>
      <family val="2"/>
      <scheme val="minor"/>
    </font>
    <font>
      <sz val="12"/>
      <color theme="1"/>
      <name val="Calibri"/>
      <family val="2"/>
      <scheme val="minor"/>
    </font>
    <font>
      <i/>
      <strike/>
      <sz val="12"/>
      <color indexed="8"/>
      <name val="Calibri"/>
      <family val="2"/>
      <scheme val="minor"/>
    </font>
    <font>
      <i/>
      <strike/>
      <sz val="10"/>
      <color indexed="8"/>
      <name val="Calibri"/>
      <family val="2"/>
      <scheme val="minor"/>
    </font>
    <font>
      <sz val="11"/>
      <name val="Arial"/>
      <family val="2"/>
    </font>
    <font>
      <sz val="9"/>
      <color rgb="FF000000"/>
      <name val="Tahoma"/>
      <family val="2"/>
    </font>
    <font>
      <b/>
      <sz val="11"/>
      <color rgb="FF000000"/>
      <name val="Calibri"/>
      <family val="2"/>
    </font>
    <font>
      <sz val="11"/>
      <color rgb="FF000000"/>
      <name val="Calibri"/>
      <family val="2"/>
    </font>
    <font>
      <sz val="10"/>
      <color rgb="FF000000"/>
      <name val="Calibri"/>
      <family val="2"/>
    </font>
    <font>
      <sz val="12"/>
      <color rgb="FF000000"/>
      <name val="Calibri"/>
      <family val="2"/>
    </font>
    <font>
      <b/>
      <sz val="14"/>
      <color indexed="8"/>
      <name val="Calibri"/>
      <family val="2"/>
      <scheme val="minor"/>
    </font>
    <font>
      <b/>
      <sz val="10"/>
      <color theme="5" tint="-0.249977111117893"/>
      <name val="Calibri"/>
      <family val="2"/>
      <scheme val="minor"/>
    </font>
    <font>
      <b/>
      <sz val="10"/>
      <color theme="5" tint="-0.249977111117893"/>
      <name val="Arial"/>
      <family val="2"/>
    </font>
    <font>
      <b/>
      <sz val="11"/>
      <color theme="5" tint="-0.249977111117893"/>
      <name val="Calibri"/>
      <family val="2"/>
      <scheme val="minor"/>
    </font>
    <font>
      <b/>
      <i/>
      <sz val="11"/>
      <color theme="5" tint="-0.249977111117893"/>
      <name val="Calibri"/>
      <family val="2"/>
      <scheme val="minor"/>
    </font>
    <font>
      <b/>
      <sz val="12"/>
      <color theme="5" tint="-0.249977111117893"/>
      <name val="Calibri"/>
      <family val="2"/>
      <scheme val="minor"/>
    </font>
    <font>
      <sz val="12"/>
      <color theme="0"/>
      <name val="Calibri"/>
      <family val="2"/>
      <scheme val="minor"/>
    </font>
  </fonts>
  <fills count="1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CC"/>
      </patternFill>
    </fill>
    <fill>
      <patternFill patternType="solid">
        <fgColor theme="4" tint="0.79998168889431442"/>
        <bgColor indexed="64"/>
      </patternFill>
    </fill>
    <fill>
      <patternFill patternType="solid">
        <fgColor indexed="26"/>
        <bgColor indexed="64"/>
      </patternFill>
    </fill>
    <fill>
      <patternFill patternType="solid">
        <fgColor indexed="31"/>
        <bgColor indexed="64"/>
      </patternFill>
    </fill>
    <fill>
      <patternFill patternType="solid">
        <fgColor indexed="28"/>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DDDDDD"/>
        <bgColor indexed="64"/>
      </patternFill>
    </fill>
    <fill>
      <patternFill patternType="gray125">
        <bgColor theme="0"/>
      </patternFill>
    </fill>
    <fill>
      <patternFill patternType="solid">
        <fgColor theme="0" tint="-4.9989318521683403E-2"/>
        <bgColor indexed="64"/>
      </patternFill>
    </fill>
  </fills>
  <borders count="225">
    <border>
      <left/>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top/>
      <bottom/>
      <diagonal/>
    </border>
    <border>
      <left style="medium">
        <color auto="1"/>
      </left>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indexed="64"/>
      </bottom>
      <diagonal/>
    </border>
    <border>
      <left/>
      <right style="medium">
        <color auto="1"/>
      </right>
      <top/>
      <bottom style="medium">
        <color auto="1"/>
      </bottom>
      <diagonal/>
    </border>
    <border>
      <left/>
      <right/>
      <top style="medium">
        <color indexed="64"/>
      </top>
      <bottom/>
      <diagonal/>
    </border>
    <border>
      <left/>
      <right style="medium">
        <color indexed="64"/>
      </right>
      <top style="medium">
        <color indexed="64"/>
      </top>
      <bottom/>
      <diagonal/>
    </border>
    <border>
      <left style="thin">
        <color rgb="FFB2B2B2"/>
      </left>
      <right style="thin">
        <color rgb="FFB2B2B2"/>
      </right>
      <top style="thin">
        <color rgb="FFB2B2B2"/>
      </top>
      <bottom style="thin">
        <color rgb="FFB2B2B2"/>
      </bottom>
      <diagonal/>
    </border>
    <border>
      <left/>
      <right/>
      <top style="medium">
        <color indexed="64"/>
      </top>
      <bottom style="thin">
        <color indexed="64"/>
      </bottom>
      <diagonal/>
    </border>
    <border>
      <left/>
      <right/>
      <top/>
      <bottom style="hair">
        <color indexed="12"/>
      </bottom>
      <diagonal/>
    </border>
    <border>
      <left/>
      <right/>
      <top style="hair">
        <color indexed="12"/>
      </top>
      <bottom style="hair">
        <color indexed="12"/>
      </bottom>
      <diagonal/>
    </border>
    <border>
      <left/>
      <right/>
      <top style="thin">
        <color indexed="64"/>
      </top>
      <bottom style="medium">
        <color indexed="64"/>
      </bottom>
      <diagonal/>
    </border>
    <border>
      <left style="hair">
        <color theme="1"/>
      </left>
      <right style="hair">
        <color theme="1"/>
      </right>
      <top style="hair">
        <color theme="1"/>
      </top>
      <bottom style="hair">
        <color theme="1"/>
      </bottom>
      <diagonal/>
    </border>
    <border>
      <left style="hair">
        <color theme="1"/>
      </left>
      <right/>
      <top style="hair">
        <color theme="1"/>
      </top>
      <bottom style="hair">
        <color theme="1"/>
      </bottom>
      <diagonal/>
    </border>
    <border>
      <left style="hair">
        <color theme="1"/>
      </left>
      <right style="hair">
        <color theme="1"/>
      </right>
      <top/>
      <bottom style="hair">
        <color theme="1"/>
      </bottom>
      <diagonal/>
    </border>
    <border>
      <left style="thin">
        <color theme="1"/>
      </left>
      <right style="hair">
        <color theme="1"/>
      </right>
      <top style="thin">
        <color theme="1"/>
      </top>
      <bottom style="hair">
        <color theme="1"/>
      </bottom>
      <diagonal/>
    </border>
    <border>
      <left style="hair">
        <color theme="1"/>
      </left>
      <right style="hair">
        <color theme="1"/>
      </right>
      <top style="thin">
        <color theme="1"/>
      </top>
      <bottom style="hair">
        <color theme="1"/>
      </bottom>
      <diagonal/>
    </border>
    <border>
      <left style="hair">
        <color theme="1"/>
      </left>
      <right style="thin">
        <color theme="1"/>
      </right>
      <top style="thin">
        <color theme="1"/>
      </top>
      <bottom style="hair">
        <color theme="1"/>
      </bottom>
      <diagonal/>
    </border>
    <border>
      <left style="thin">
        <color theme="1"/>
      </left>
      <right style="hair">
        <color theme="1"/>
      </right>
      <top style="hair">
        <color theme="1"/>
      </top>
      <bottom style="hair">
        <color theme="1"/>
      </bottom>
      <diagonal/>
    </border>
    <border>
      <left style="hair">
        <color theme="1"/>
      </left>
      <right style="thin">
        <color theme="1"/>
      </right>
      <top style="hair">
        <color theme="1"/>
      </top>
      <bottom style="hair">
        <color theme="1"/>
      </bottom>
      <diagonal/>
    </border>
    <border>
      <left style="thin">
        <color theme="1"/>
      </left>
      <right style="hair">
        <color theme="1"/>
      </right>
      <top style="hair">
        <color theme="1"/>
      </top>
      <bottom style="thin">
        <color theme="1"/>
      </bottom>
      <diagonal/>
    </border>
    <border>
      <left style="hair">
        <color theme="1"/>
      </left>
      <right style="hair">
        <color theme="1"/>
      </right>
      <top style="hair">
        <color theme="1"/>
      </top>
      <bottom style="thin">
        <color theme="1"/>
      </bottom>
      <diagonal/>
    </border>
    <border>
      <left style="hair">
        <color theme="1"/>
      </left>
      <right style="thin">
        <color theme="1"/>
      </right>
      <top style="hair">
        <color theme="1"/>
      </top>
      <bottom style="thin">
        <color theme="1"/>
      </bottom>
      <diagonal/>
    </border>
    <border>
      <left/>
      <right/>
      <top style="thin">
        <color theme="1"/>
      </top>
      <bottom/>
      <diagonal/>
    </border>
    <border>
      <left/>
      <right style="hair">
        <color theme="1"/>
      </right>
      <top style="hair">
        <color theme="1"/>
      </top>
      <bottom style="hair">
        <color theme="1"/>
      </bottom>
      <diagonal/>
    </border>
    <border>
      <left style="thin">
        <color indexed="64"/>
      </left>
      <right style="hair">
        <color theme="1"/>
      </right>
      <top style="hair">
        <color theme="1"/>
      </top>
      <bottom style="hair">
        <color theme="1"/>
      </bottom>
      <diagonal/>
    </border>
    <border>
      <left style="hair">
        <color indexed="64"/>
      </left>
      <right style="hair">
        <color indexed="64"/>
      </right>
      <top style="hair">
        <color indexed="64"/>
      </top>
      <bottom style="hair">
        <color indexed="64"/>
      </bottom>
      <diagonal/>
    </border>
    <border>
      <left/>
      <right/>
      <top/>
      <bottom style="double">
        <color theme="1"/>
      </bottom>
      <diagonal/>
    </border>
    <border>
      <left/>
      <right/>
      <top style="hair">
        <color theme="1"/>
      </top>
      <bottom/>
      <diagonal/>
    </border>
    <border>
      <left/>
      <right/>
      <top style="hair">
        <color theme="1"/>
      </top>
      <bottom style="hair">
        <color theme="1"/>
      </bottom>
      <diagonal/>
    </border>
    <border>
      <left style="hair">
        <color theme="1"/>
      </left>
      <right style="thin">
        <color indexed="64"/>
      </right>
      <top style="hair">
        <color theme="1"/>
      </top>
      <bottom style="hair">
        <color theme="1"/>
      </bottom>
      <diagonal/>
    </border>
    <border>
      <left style="thin">
        <color indexed="64"/>
      </left>
      <right/>
      <top style="hair">
        <color theme="1"/>
      </top>
      <bottom style="hair">
        <color theme="1"/>
      </bottom>
      <diagonal/>
    </border>
    <border>
      <left/>
      <right style="hair">
        <color theme="1"/>
      </right>
      <top style="thin">
        <color theme="1"/>
      </top>
      <bottom style="hair">
        <color theme="1"/>
      </bottom>
      <diagonal/>
    </border>
    <border>
      <left/>
      <right style="hair">
        <color theme="1"/>
      </right>
      <top/>
      <bottom style="hair">
        <color theme="1"/>
      </bottom>
      <diagonal/>
    </border>
    <border>
      <left style="thin">
        <color auto="1"/>
      </left>
      <right style="thin">
        <color auto="1"/>
      </right>
      <top/>
      <bottom style="thin">
        <color auto="1"/>
      </bottom>
      <diagonal/>
    </border>
    <border>
      <left style="thin">
        <color auto="1"/>
      </left>
      <right style="medium">
        <color indexed="64"/>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hair">
        <color theme="1"/>
      </left>
      <right style="thin">
        <color theme="1"/>
      </right>
      <top style="hair">
        <color theme="1"/>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right style="medium">
        <color indexed="64"/>
      </right>
      <top/>
      <bottom style="thin">
        <color indexed="64"/>
      </bottom>
      <diagonal/>
    </border>
    <border>
      <left style="medium">
        <color indexed="64"/>
      </left>
      <right/>
      <top style="thin">
        <color auto="1"/>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diagonal/>
    </border>
    <border>
      <left style="thin">
        <color auto="1"/>
      </left>
      <right style="medium">
        <color indexed="64"/>
      </right>
      <top/>
      <bottom style="thin">
        <color auto="1"/>
      </bottom>
      <diagonal/>
    </border>
    <border>
      <left style="thin">
        <color auto="1"/>
      </left>
      <right style="medium">
        <color indexed="64"/>
      </right>
      <top/>
      <bottom/>
      <diagonal/>
    </border>
    <border>
      <left style="medium">
        <color indexed="64"/>
      </left>
      <right style="thin">
        <color auto="1"/>
      </right>
      <top style="thin">
        <color auto="1"/>
      </top>
      <bottom style="medium">
        <color indexed="64"/>
      </bottom>
      <diagonal/>
    </border>
    <border>
      <left style="hair">
        <color theme="1"/>
      </left>
      <right style="thin">
        <color indexed="64"/>
      </right>
      <top style="hair">
        <color theme="1"/>
      </top>
      <bottom style="thin">
        <color indexed="64"/>
      </bottom>
      <diagonal/>
    </border>
    <border>
      <left style="hair">
        <color theme="1"/>
      </left>
      <right style="hair">
        <color theme="1"/>
      </right>
      <top style="hair">
        <color theme="1"/>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hair">
        <color theme="1"/>
      </left>
      <right style="thin">
        <color indexed="64"/>
      </right>
      <top/>
      <bottom style="hair">
        <color theme="1"/>
      </bottom>
      <diagonal/>
    </border>
    <border>
      <left/>
      <right style="thin">
        <color indexed="64"/>
      </right>
      <top style="thin">
        <color indexed="64"/>
      </top>
      <bottom/>
      <diagonal/>
    </border>
    <border>
      <left/>
      <right/>
      <top/>
      <bottom style="hair">
        <color theme="1"/>
      </bottom>
      <diagonal/>
    </border>
    <border>
      <left style="hair">
        <color theme="1"/>
      </left>
      <right/>
      <top/>
      <bottom style="hair">
        <color theme="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hair">
        <color indexed="64"/>
      </top>
      <bottom/>
      <diagonal/>
    </border>
    <border>
      <left/>
      <right/>
      <top style="thin">
        <color theme="1"/>
      </top>
      <bottom style="hair">
        <color indexed="64"/>
      </bottom>
      <diagonal/>
    </border>
    <border>
      <left/>
      <right/>
      <top style="thin">
        <color auto="1"/>
      </top>
      <bottom style="hair">
        <color theme="1"/>
      </bottom>
      <diagonal/>
    </border>
    <border>
      <left style="hair">
        <color theme="1"/>
      </left>
      <right style="hair">
        <color theme="1"/>
      </right>
      <top style="hair">
        <color theme="1"/>
      </top>
      <bottom/>
      <diagonal/>
    </border>
    <border>
      <left/>
      <right/>
      <top style="hair">
        <color indexed="64"/>
      </top>
      <bottom style="hair">
        <color indexed="64"/>
      </bottom>
      <diagonal/>
    </border>
    <border>
      <left style="hair">
        <color indexed="64"/>
      </left>
      <right style="hair">
        <color theme="1"/>
      </right>
      <top style="hair">
        <color theme="1"/>
      </top>
      <bottom style="hair">
        <color theme="1"/>
      </bottom>
      <diagonal/>
    </border>
    <border>
      <left/>
      <right/>
      <top style="hair">
        <color indexed="64"/>
      </top>
      <bottom style="double">
        <color theme="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double">
        <color theme="1"/>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bottom style="double">
        <color indexed="64"/>
      </bottom>
      <diagonal/>
    </border>
    <border>
      <left/>
      <right/>
      <top/>
      <bottom style="hair">
        <color indexed="64"/>
      </bottom>
      <diagonal/>
    </border>
    <border>
      <left/>
      <right style="thin">
        <color indexed="64"/>
      </right>
      <top/>
      <bottom style="thin">
        <color indexed="64"/>
      </bottom>
      <diagonal/>
    </border>
    <border>
      <left/>
      <right style="hair">
        <color theme="1"/>
      </right>
      <top/>
      <bottom/>
      <diagonal/>
    </border>
    <border>
      <left/>
      <right style="hair">
        <color theme="1"/>
      </right>
      <top style="hair">
        <color theme="1"/>
      </top>
      <bottom/>
      <diagonal/>
    </border>
    <border>
      <left style="hair">
        <color theme="1"/>
      </left>
      <right style="hair">
        <color theme="1"/>
      </right>
      <top/>
      <bottom/>
      <diagonal/>
    </border>
    <border>
      <left style="thin">
        <color indexed="64"/>
      </left>
      <right/>
      <top style="thin">
        <color auto="1"/>
      </top>
      <bottom style="hair">
        <color theme="1"/>
      </bottom>
      <diagonal/>
    </border>
    <border>
      <left style="hair">
        <color indexed="64"/>
      </left>
      <right style="hair">
        <color indexed="64"/>
      </right>
      <top/>
      <bottom/>
      <diagonal/>
    </border>
    <border>
      <left style="hair">
        <color indexed="64"/>
      </left>
      <right style="hair">
        <color indexed="64"/>
      </right>
      <top style="thin">
        <color auto="1"/>
      </top>
      <bottom style="thin">
        <color auto="1"/>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style="hair">
        <color indexed="64"/>
      </left>
      <right style="hair">
        <color theme="1"/>
      </right>
      <top/>
      <bottom style="hair">
        <color theme="1"/>
      </bottom>
      <diagonal/>
    </border>
    <border>
      <left/>
      <right/>
      <top style="thin">
        <color indexed="64"/>
      </top>
      <bottom style="double">
        <color indexed="64"/>
      </bottom>
      <diagonal/>
    </border>
    <border>
      <left style="hair">
        <color theme="1"/>
      </left>
      <right style="hair">
        <color theme="1"/>
      </right>
      <top style="thin">
        <color indexed="64"/>
      </top>
      <bottom style="double">
        <color indexed="64"/>
      </bottom>
      <diagonal/>
    </border>
    <border>
      <left style="hair">
        <color theme="1"/>
      </left>
      <right/>
      <top style="thin">
        <color indexed="64"/>
      </top>
      <bottom style="double">
        <color indexed="64"/>
      </bottom>
      <diagonal/>
    </border>
    <border>
      <left style="hair">
        <color indexed="64"/>
      </left>
      <right style="hair">
        <color theme="1"/>
      </right>
      <top style="hair">
        <color indexed="64"/>
      </top>
      <bottom style="hair">
        <color theme="1"/>
      </bottom>
      <diagonal/>
    </border>
    <border>
      <left style="hair">
        <color indexed="64"/>
      </left>
      <right style="hair">
        <color indexed="64"/>
      </right>
      <top style="hair">
        <color indexed="64"/>
      </top>
      <bottom style="hair">
        <color theme="1"/>
      </bottom>
      <diagonal/>
    </border>
    <border>
      <left style="hair">
        <color indexed="64"/>
      </left>
      <right/>
      <top style="hair">
        <color indexed="64"/>
      </top>
      <bottom style="hair">
        <color indexed="64"/>
      </bottom>
      <diagonal/>
    </border>
    <border>
      <left/>
      <right/>
      <top style="double">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diagonal/>
    </border>
    <border>
      <left/>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auto="1"/>
      </left>
      <right/>
      <top style="hair">
        <color auto="1"/>
      </top>
      <bottom/>
      <diagonal/>
    </border>
    <border>
      <left/>
      <right/>
      <top/>
      <bottom style="thin">
        <color theme="1"/>
      </bottom>
      <diagonal/>
    </border>
    <border>
      <left style="hair">
        <color theme="1"/>
      </left>
      <right/>
      <top style="thin">
        <color indexed="64"/>
      </top>
      <bottom style="double">
        <color theme="1"/>
      </bottom>
      <diagonal/>
    </border>
    <border>
      <left/>
      <right/>
      <top style="thin">
        <color indexed="64"/>
      </top>
      <bottom style="double">
        <color theme="1"/>
      </bottom>
      <diagonal/>
    </border>
    <border>
      <left/>
      <right style="hair">
        <color theme="1"/>
      </right>
      <top style="thin">
        <color indexed="64"/>
      </top>
      <bottom style="double">
        <color theme="1"/>
      </bottom>
      <diagonal/>
    </border>
    <border>
      <left style="hair">
        <color theme="1"/>
      </left>
      <right style="thin">
        <color theme="1"/>
      </right>
      <top style="hair">
        <color theme="1"/>
      </top>
      <bottom style="thin">
        <color indexed="64"/>
      </bottom>
      <diagonal/>
    </border>
    <border>
      <left style="thin">
        <color theme="1"/>
      </left>
      <right style="hair">
        <color theme="1"/>
      </right>
      <top style="hair">
        <color theme="1"/>
      </top>
      <bottom style="thin">
        <color indexed="64"/>
      </bottom>
      <diagonal/>
    </border>
    <border>
      <left style="thin">
        <color theme="1"/>
      </left>
      <right style="hair">
        <color theme="1"/>
      </right>
      <top style="thin">
        <color indexed="64"/>
      </top>
      <bottom style="hair">
        <color theme="1"/>
      </bottom>
      <diagonal/>
    </border>
    <border>
      <left style="hair">
        <color theme="1"/>
      </left>
      <right style="hair">
        <color theme="1"/>
      </right>
      <top style="thin">
        <color indexed="64"/>
      </top>
      <bottom style="hair">
        <color theme="1"/>
      </bottom>
      <diagonal/>
    </border>
    <border>
      <left style="hair">
        <color theme="1"/>
      </left>
      <right style="thin">
        <color theme="1"/>
      </right>
      <top style="thin">
        <color indexed="64"/>
      </top>
      <bottom style="hair">
        <color theme="1"/>
      </bottom>
      <diagonal/>
    </border>
    <border>
      <left style="thin">
        <color theme="1"/>
      </left>
      <right style="hair">
        <color theme="1"/>
      </right>
      <top style="hair">
        <color theme="1"/>
      </top>
      <bottom/>
      <diagonal/>
    </border>
    <border>
      <left style="thin">
        <color indexed="64"/>
      </left>
      <right style="hair">
        <color theme="1"/>
      </right>
      <top style="thin">
        <color indexed="64"/>
      </top>
      <bottom style="hair">
        <color theme="1"/>
      </bottom>
      <diagonal/>
    </border>
    <border>
      <left style="hair">
        <color theme="1"/>
      </left>
      <right style="thin">
        <color indexed="64"/>
      </right>
      <top style="thin">
        <color indexed="64"/>
      </top>
      <bottom style="hair">
        <color theme="1"/>
      </bottom>
      <diagonal/>
    </border>
    <border>
      <left style="thin">
        <color indexed="64"/>
      </left>
      <right style="hair">
        <color theme="1"/>
      </right>
      <top style="hair">
        <color theme="1"/>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theme="1"/>
      </right>
      <top style="thin">
        <color indexed="64"/>
      </top>
      <bottom style="hair">
        <color indexed="64"/>
      </bottom>
      <diagonal/>
    </border>
    <border>
      <left style="hair">
        <color theme="1"/>
      </left>
      <right style="hair">
        <color theme="1"/>
      </right>
      <top style="thin">
        <color indexed="64"/>
      </top>
      <bottom style="hair">
        <color indexed="64"/>
      </bottom>
      <diagonal/>
    </border>
    <border>
      <left style="hair">
        <color theme="1"/>
      </left>
      <right style="thin">
        <color indexed="64"/>
      </right>
      <top style="thin">
        <color indexed="64"/>
      </top>
      <bottom style="hair">
        <color indexed="64"/>
      </bottom>
      <diagonal/>
    </border>
    <border>
      <left style="thin">
        <color indexed="64"/>
      </left>
      <right style="hair">
        <color theme="1"/>
      </right>
      <top style="hair">
        <color indexed="64"/>
      </top>
      <bottom style="hair">
        <color indexed="64"/>
      </bottom>
      <diagonal/>
    </border>
    <border>
      <left style="hair">
        <color theme="1"/>
      </left>
      <right style="hair">
        <color theme="1"/>
      </right>
      <top style="hair">
        <color indexed="64"/>
      </top>
      <bottom style="hair">
        <color indexed="64"/>
      </bottom>
      <diagonal/>
    </border>
    <border>
      <left style="hair">
        <color theme="1"/>
      </left>
      <right style="thin">
        <color indexed="64"/>
      </right>
      <top style="hair">
        <color indexed="64"/>
      </top>
      <bottom style="hair">
        <color indexed="64"/>
      </bottom>
      <diagonal/>
    </border>
    <border>
      <left style="thin">
        <color indexed="64"/>
      </left>
      <right style="hair">
        <color theme="1"/>
      </right>
      <top style="hair">
        <color indexed="64"/>
      </top>
      <bottom style="thin">
        <color indexed="64"/>
      </bottom>
      <diagonal/>
    </border>
    <border>
      <left style="hair">
        <color theme="1"/>
      </left>
      <right style="hair">
        <color theme="1"/>
      </right>
      <top style="hair">
        <color indexed="64"/>
      </top>
      <bottom style="thin">
        <color indexed="64"/>
      </bottom>
      <diagonal/>
    </border>
    <border>
      <left style="hair">
        <color theme="1"/>
      </left>
      <right style="thin">
        <color indexed="64"/>
      </right>
      <top style="hair">
        <color indexed="64"/>
      </top>
      <bottom style="thin">
        <color indexed="64"/>
      </bottom>
      <diagonal/>
    </border>
    <border>
      <left style="thin">
        <color indexed="64"/>
      </left>
      <right style="hair">
        <color theme="1"/>
      </right>
      <top style="hair">
        <color indexed="64"/>
      </top>
      <bottom/>
      <diagonal/>
    </border>
    <border>
      <left style="hair">
        <color theme="1"/>
      </left>
      <right style="hair">
        <color theme="1"/>
      </right>
      <top style="hair">
        <color indexed="64"/>
      </top>
      <bottom/>
      <diagonal/>
    </border>
    <border>
      <left style="hair">
        <color theme="1"/>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auto="1"/>
      </top>
      <bottom style="hair">
        <color auto="1"/>
      </bottom>
      <diagonal/>
    </border>
    <border>
      <left/>
      <right style="thin">
        <color indexed="64"/>
      </right>
      <top style="thin">
        <color auto="1"/>
      </top>
      <bottom style="hair">
        <color auto="1"/>
      </bottom>
      <diagonal/>
    </border>
    <border>
      <left style="thin">
        <color indexed="64"/>
      </left>
      <right/>
      <top style="thin">
        <color theme="1"/>
      </top>
      <bottom/>
      <diagonal/>
    </border>
    <border>
      <left style="thin">
        <color indexed="64"/>
      </left>
      <right style="hair">
        <color theme="1"/>
      </right>
      <top/>
      <bottom style="hair">
        <color theme="1"/>
      </bottom>
      <diagonal/>
    </border>
    <border>
      <left/>
      <right style="hair">
        <color indexed="64"/>
      </right>
      <top/>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right style="hair">
        <color theme="1"/>
      </right>
      <top/>
      <bottom style="hair">
        <color indexed="64"/>
      </bottom>
      <diagonal/>
    </border>
    <border>
      <left style="thin">
        <color indexed="64"/>
      </left>
      <right style="hair">
        <color indexed="64"/>
      </right>
      <top/>
      <bottom style="hair">
        <color indexed="64"/>
      </bottom>
      <diagonal/>
    </border>
    <border>
      <left style="dashed">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auto="1"/>
      </top>
      <bottom style="thin">
        <color auto="1"/>
      </bottom>
      <diagonal/>
    </border>
    <border>
      <left/>
      <right style="hair">
        <color indexed="64"/>
      </right>
      <top style="thin">
        <color indexed="64"/>
      </top>
      <bottom/>
      <diagonal/>
    </border>
    <border>
      <left style="hair">
        <color indexed="64"/>
      </left>
      <right style="hair">
        <color indexed="64"/>
      </right>
      <top/>
      <bottom style="thin">
        <color auto="1"/>
      </bottom>
      <diagonal/>
    </border>
    <border>
      <left/>
      <right style="hair">
        <color indexed="64"/>
      </right>
      <top/>
      <bottom style="thin">
        <color auto="1"/>
      </bottom>
      <diagonal/>
    </border>
    <border>
      <left style="thin">
        <color indexed="64"/>
      </left>
      <right/>
      <top/>
      <bottom style="dashed">
        <color indexed="64"/>
      </bottom>
      <diagonal/>
    </border>
    <border>
      <left/>
      <right/>
      <top/>
      <bottom style="dashed">
        <color indexed="64"/>
      </bottom>
      <diagonal/>
    </border>
    <border>
      <left/>
      <right style="hair">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hair">
        <color indexed="64"/>
      </right>
      <top style="thin">
        <color indexed="64"/>
      </top>
      <bottom style="dashed">
        <color indexed="64"/>
      </bottom>
      <diagonal/>
    </border>
    <border>
      <left/>
      <right style="thin">
        <color indexed="64"/>
      </right>
      <top style="thin">
        <color indexed="64"/>
      </top>
      <bottom style="dashed">
        <color indexed="64"/>
      </bottom>
      <diagonal/>
    </border>
    <border>
      <left style="hair">
        <color auto="1"/>
      </left>
      <right style="hair">
        <color auto="1"/>
      </right>
      <top/>
      <bottom style="dashed">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auto="1"/>
      </top>
      <bottom style="thin">
        <color auto="1"/>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theme="1"/>
      </top>
      <bottom style="thin">
        <color indexed="64"/>
      </bottom>
      <diagonal/>
    </border>
    <border>
      <left/>
      <right style="hair">
        <color theme="1"/>
      </right>
      <top style="hair">
        <color theme="1"/>
      </top>
      <bottom style="thin">
        <color indexed="64"/>
      </bottom>
      <diagonal/>
    </border>
    <border>
      <left style="thin">
        <color indexed="64"/>
      </left>
      <right/>
      <top/>
      <bottom style="hair">
        <color theme="1"/>
      </bottom>
      <diagonal/>
    </border>
    <border>
      <left/>
      <right/>
      <top style="hair">
        <color indexed="64"/>
      </top>
      <bottom style="thin">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theme="1"/>
      </left>
      <right style="hair">
        <color theme="1"/>
      </right>
      <top style="hair">
        <color theme="1"/>
      </top>
      <bottom style="double">
        <color theme="1"/>
      </bottom>
      <diagonal/>
    </border>
    <border>
      <left/>
      <right style="hair">
        <color theme="1"/>
      </right>
      <top style="hair">
        <color theme="1"/>
      </top>
      <bottom style="double">
        <color theme="1"/>
      </bottom>
      <diagonal/>
    </border>
    <border>
      <left style="hair">
        <color theme="1"/>
      </left>
      <right/>
      <top style="hair">
        <color theme="1"/>
      </top>
      <bottom style="double">
        <color theme="1"/>
      </bottom>
      <diagonal/>
    </border>
    <border>
      <left style="hair">
        <color theme="1"/>
      </left>
      <right/>
      <top/>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style="hair">
        <color theme="1"/>
      </left>
      <right style="hair">
        <color theme="1"/>
      </right>
      <top/>
      <bottom style="hair">
        <color indexed="64"/>
      </bottom>
      <diagonal/>
    </border>
    <border>
      <left style="thin">
        <color indexed="64"/>
      </left>
      <right/>
      <top style="hair">
        <color theme="1"/>
      </top>
      <bottom/>
      <diagonal/>
    </border>
    <border>
      <left style="hair">
        <color theme="1"/>
      </left>
      <right style="thin">
        <color indexed="64"/>
      </right>
      <top style="hair">
        <color theme="1"/>
      </top>
      <bottom/>
      <diagonal/>
    </border>
    <border>
      <left/>
      <right style="hair">
        <color theme="1"/>
      </right>
      <top style="thin">
        <color indexed="64"/>
      </top>
      <bottom style="thin">
        <color indexed="64"/>
      </bottom>
      <diagonal/>
    </border>
    <border>
      <left style="hair">
        <color theme="1"/>
      </left>
      <right style="hair">
        <color theme="1"/>
      </right>
      <top style="thin">
        <color indexed="64"/>
      </top>
      <bottom style="thin">
        <color indexed="64"/>
      </bottom>
      <diagonal/>
    </border>
    <border>
      <left style="hair">
        <color theme="1"/>
      </left>
      <right style="thin">
        <color indexed="64"/>
      </right>
      <top style="thin">
        <color indexed="64"/>
      </top>
      <bottom style="thin">
        <color indexed="64"/>
      </bottom>
      <diagonal/>
    </border>
    <border>
      <left style="hair">
        <color theme="1"/>
      </left>
      <right style="thin">
        <color indexed="64"/>
      </right>
      <top/>
      <bottom style="hair">
        <color indexed="64"/>
      </bottom>
      <diagonal/>
    </border>
    <border>
      <left style="thin">
        <color indexed="64"/>
      </left>
      <right style="hair">
        <color theme="1"/>
      </right>
      <top style="hair">
        <color theme="1"/>
      </top>
      <bottom/>
      <diagonal/>
    </border>
    <border>
      <left style="thin">
        <color indexed="64"/>
      </left>
      <right style="hair">
        <color theme="1"/>
      </right>
      <top style="thin">
        <color indexed="64"/>
      </top>
      <bottom style="thin">
        <color indexed="64"/>
      </bottom>
      <diagonal/>
    </border>
    <border>
      <left style="medium">
        <color auto="1"/>
      </left>
      <right style="medium">
        <color indexed="64"/>
      </right>
      <top style="thin">
        <color auto="1"/>
      </top>
      <bottom style="thin">
        <color auto="1"/>
      </bottom>
      <diagonal/>
    </border>
    <border>
      <left style="medium">
        <color auto="1"/>
      </left>
      <right style="medium">
        <color indexed="64"/>
      </right>
      <top/>
      <bottom/>
      <diagonal/>
    </border>
    <border>
      <left style="medium">
        <color auto="1"/>
      </left>
      <right style="medium">
        <color indexed="64"/>
      </right>
      <top style="thin">
        <color indexed="64"/>
      </top>
      <bottom/>
      <diagonal/>
    </border>
    <border>
      <left style="medium">
        <color auto="1"/>
      </left>
      <right style="medium">
        <color indexed="64"/>
      </right>
      <top/>
      <bottom style="thin">
        <color auto="1"/>
      </bottom>
      <diagonal/>
    </border>
    <border>
      <left style="medium">
        <color auto="1"/>
      </left>
      <right style="medium">
        <color indexed="64"/>
      </right>
      <top style="hair">
        <color indexed="64"/>
      </top>
      <bottom style="hair">
        <color indexed="64"/>
      </bottom>
      <diagonal/>
    </border>
    <border>
      <left style="medium">
        <color auto="1"/>
      </left>
      <right style="medium">
        <color indexed="64"/>
      </right>
      <top style="hair">
        <color indexed="64"/>
      </top>
      <bottom/>
      <diagonal/>
    </border>
    <border>
      <left style="medium">
        <color auto="1"/>
      </left>
      <right style="medium">
        <color indexed="64"/>
      </right>
      <top style="dashed">
        <color indexed="64"/>
      </top>
      <bottom style="thin">
        <color indexed="64"/>
      </bottom>
      <diagonal/>
    </border>
    <border>
      <left style="medium">
        <color auto="1"/>
      </left>
      <right style="medium">
        <color indexed="64"/>
      </right>
      <top style="thin">
        <color indexed="64"/>
      </top>
      <bottom style="dashed">
        <color indexed="64"/>
      </bottom>
      <diagonal/>
    </border>
    <border>
      <left/>
      <right style="hair">
        <color indexed="64"/>
      </right>
      <top style="hair">
        <color theme="1"/>
      </top>
      <bottom style="hair">
        <color theme="1"/>
      </bottom>
      <diagonal/>
    </border>
    <border>
      <left style="hair">
        <color theme="1"/>
      </left>
      <right style="hair">
        <color theme="1"/>
      </right>
      <top style="thin">
        <color theme="1"/>
      </top>
      <bottom style="thin">
        <color theme="1"/>
      </bottom>
      <diagonal/>
    </border>
    <border>
      <left style="hair">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hair">
        <color theme="1"/>
      </right>
      <top style="thin">
        <color theme="1"/>
      </top>
      <bottom style="thin">
        <color theme="1"/>
      </bottom>
      <diagonal/>
    </border>
    <border>
      <left/>
      <right style="medium">
        <color auto="1"/>
      </right>
      <top style="thin">
        <color auto="1"/>
      </top>
      <bottom style="medium">
        <color auto="1"/>
      </bottom>
      <diagonal/>
    </border>
    <border>
      <left/>
      <right style="hair">
        <color theme="1"/>
      </right>
      <top style="thin">
        <color theme="1"/>
      </top>
      <bottom/>
      <diagonal/>
    </border>
    <border>
      <left/>
      <right style="hair">
        <color theme="1"/>
      </right>
      <top style="double">
        <color theme="1"/>
      </top>
      <bottom/>
      <diagonal/>
    </border>
    <border>
      <left/>
      <right style="thin">
        <color theme="1"/>
      </right>
      <top/>
      <bottom/>
      <diagonal/>
    </border>
  </borders>
  <cellStyleXfs count="52">
    <xf numFmtId="0" fontId="0" fillId="0" borderId="0"/>
    <xf numFmtId="43" fontId="9" fillId="0" borderId="0" applyFont="0" applyFill="0" applyBorder="0" applyAlignment="0" applyProtection="0"/>
    <xf numFmtId="44" fontId="9" fillId="0" borderId="0" applyFont="0" applyFill="0" applyBorder="0" applyAlignment="0" applyProtection="0"/>
    <xf numFmtId="0" fontId="8" fillId="0" borderId="0"/>
    <xf numFmtId="0" fontId="8" fillId="0" borderId="0"/>
    <xf numFmtId="9" fontId="9" fillId="0" borderId="0" applyFont="0" applyFill="0" applyBorder="0" applyAlignment="0" applyProtection="0"/>
    <xf numFmtId="0" fontId="11"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13" fillId="0" borderId="0"/>
    <xf numFmtId="3" fontId="11" fillId="0" borderId="0" applyNumberFormat="0" applyFill="0" applyBorder="0" applyAlignment="0">
      <alignment horizontal="left"/>
    </xf>
    <xf numFmtId="3" fontId="14" fillId="0" borderId="10" applyNumberFormat="0" applyProtection="0"/>
    <xf numFmtId="3" fontId="15" fillId="0" borderId="0" applyNumberFormat="0" applyProtection="0"/>
    <xf numFmtId="3" fontId="16" fillId="0" borderId="0">
      <alignment horizontal="left"/>
    </xf>
    <xf numFmtId="172" fontId="17" fillId="6" borderId="0" applyNumberFormat="0" applyBorder="0" applyAlignment="0">
      <protection locked="0"/>
    </xf>
    <xf numFmtId="3" fontId="12" fillId="0" borderId="3"/>
    <xf numFmtId="3" fontId="18" fillId="0" borderId="0" applyFont="0" applyFill="0" applyBorder="0" applyAlignment="0" applyProtection="0"/>
    <xf numFmtId="172" fontId="17" fillId="7" borderId="14">
      <alignment horizontal="left" vertical="top" wrapText="1"/>
      <protection locked="0"/>
    </xf>
    <xf numFmtId="172" fontId="17" fillId="8" borderId="15">
      <alignment horizontal="left" vertical="top" wrapText="1"/>
      <protection locked="0"/>
    </xf>
    <xf numFmtId="9" fontId="19" fillId="0" borderId="0" applyFont="0" applyFill="0" applyBorder="0" applyAlignment="0" applyProtection="0"/>
    <xf numFmtId="8" fontId="19" fillId="0" borderId="0" applyFont="0" applyFill="0" applyBorder="0" applyAlignment="0" applyProtection="0"/>
    <xf numFmtId="0" fontId="11" fillId="4" borderId="12" applyNumberFormat="0" applyFont="0" applyAlignment="0" applyProtection="0"/>
    <xf numFmtId="3" fontId="16" fillId="0" borderId="16"/>
    <xf numFmtId="0" fontId="20" fillId="0" borderId="13">
      <alignment horizontal="center" wrapText="1"/>
    </xf>
    <xf numFmtId="0" fontId="21" fillId="0" borderId="0"/>
    <xf numFmtId="43" fontId="21" fillId="0" borderId="0" applyFont="0" applyFill="0" applyBorder="0" applyAlignment="0" applyProtection="0"/>
    <xf numFmtId="0" fontId="10" fillId="0" borderId="0">
      <alignment horizontal="centerContinuous"/>
    </xf>
    <xf numFmtId="6" fontId="19"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22" fillId="0" borderId="0" applyFont="0" applyFill="0" applyBorder="0" applyAlignment="0" applyProtection="0"/>
    <xf numFmtId="0" fontId="6"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3" fontId="12" fillId="0" borderId="69"/>
    <xf numFmtId="3" fontId="12" fillId="0" borderId="45"/>
    <xf numFmtId="44" fontId="8"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3" fontId="16" fillId="0" borderId="72"/>
    <xf numFmtId="44" fontId="8" fillId="0" borderId="0" applyFont="0" applyFill="0" applyBorder="0" applyAlignment="0" applyProtection="0"/>
    <xf numFmtId="0" fontId="8" fillId="0" borderId="0"/>
    <xf numFmtId="0" fontId="3" fillId="0" borderId="0"/>
    <xf numFmtId="43" fontId="8" fillId="0" borderId="0" applyFont="0" applyFill="0" applyBorder="0" applyAlignment="0" applyProtection="0"/>
  </cellStyleXfs>
  <cellXfs count="1755">
    <xf numFmtId="0" fontId="0" fillId="0" borderId="0" xfId="0"/>
    <xf numFmtId="0" fontId="23" fillId="9" borderId="0" xfId="0" applyFont="1" applyFill="1"/>
    <xf numFmtId="0" fontId="23" fillId="9" borderId="0" xfId="0" applyFont="1" applyFill="1" applyBorder="1"/>
    <xf numFmtId="0" fontId="25" fillId="9" borderId="0" xfId="0" applyFont="1" applyFill="1" applyBorder="1"/>
    <xf numFmtId="0" fontId="23" fillId="11" borderId="0" xfId="0" applyFont="1" applyFill="1"/>
    <xf numFmtId="5" fontId="23" fillId="9" borderId="0" xfId="0" applyNumberFormat="1" applyFont="1" applyFill="1"/>
    <xf numFmtId="0" fontId="30" fillId="9" borderId="0" xfId="0" applyFont="1" applyFill="1" applyBorder="1" applyProtection="1"/>
    <xf numFmtId="0" fontId="30" fillId="9" borderId="0" xfId="0" applyFont="1" applyFill="1" applyProtection="1"/>
    <xf numFmtId="0" fontId="23" fillId="0" borderId="0" xfId="0" applyFont="1"/>
    <xf numFmtId="3" fontId="23" fillId="0" borderId="0" xfId="0" applyNumberFormat="1" applyFont="1"/>
    <xf numFmtId="0" fontId="30" fillId="9" borderId="0" xfId="0" applyFont="1" applyFill="1" applyBorder="1" applyAlignment="1" applyProtection="1">
      <alignment horizontal="left"/>
    </xf>
    <xf numFmtId="0" fontId="23" fillId="0" borderId="0" xfId="0" applyFont="1" applyBorder="1"/>
    <xf numFmtId="0" fontId="27" fillId="9" borderId="0" xfId="0" applyFont="1" applyFill="1" applyBorder="1" applyProtection="1"/>
    <xf numFmtId="0" fontId="23" fillId="9" borderId="0" xfId="0" applyFont="1" applyFill="1" applyBorder="1" applyProtection="1"/>
    <xf numFmtId="0" fontId="23" fillId="0" borderId="0" xfId="0" applyFont="1" applyFill="1"/>
    <xf numFmtId="0" fontId="27" fillId="9" borderId="0" xfId="0" applyFont="1" applyFill="1" applyAlignment="1" applyProtection="1">
      <alignment horizontal="right"/>
    </xf>
    <xf numFmtId="0" fontId="40" fillId="9" borderId="0" xfId="0" applyFont="1" applyFill="1" applyProtection="1"/>
    <xf numFmtId="0" fontId="29" fillId="9" borderId="0" xfId="0" applyFont="1" applyFill="1" applyAlignment="1" applyProtection="1">
      <alignment horizontal="right"/>
    </xf>
    <xf numFmtId="0" fontId="42" fillId="9" borderId="28" xfId="0" applyFont="1" applyFill="1" applyBorder="1" applyAlignment="1" applyProtection="1"/>
    <xf numFmtId="43" fontId="33" fillId="9" borderId="28" xfId="0" applyNumberFormat="1" applyFont="1" applyFill="1" applyBorder="1" applyAlignment="1" applyProtection="1"/>
    <xf numFmtId="167" fontId="27" fillId="0" borderId="32" xfId="2" applyNumberFormat="1" applyFont="1" applyFill="1" applyBorder="1" applyAlignment="1" applyProtection="1">
      <alignment horizontal="right"/>
    </xf>
    <xf numFmtId="0" fontId="32" fillId="0" borderId="0" xfId="0" applyFont="1" applyBorder="1" applyAlignment="1" applyProtection="1">
      <alignment horizontal="right"/>
    </xf>
    <xf numFmtId="0" fontId="32" fillId="9" borderId="0" xfId="0" applyFont="1" applyFill="1" applyBorder="1" applyAlignment="1" applyProtection="1">
      <alignment horizontal="right"/>
    </xf>
    <xf numFmtId="167" fontId="27" fillId="0" borderId="0" xfId="2" applyNumberFormat="1" applyFont="1" applyFill="1" applyBorder="1" applyAlignment="1" applyProtection="1">
      <alignment horizontal="right"/>
    </xf>
    <xf numFmtId="0" fontId="42" fillId="9" borderId="28" xfId="0" applyFont="1" applyFill="1" applyBorder="1" applyAlignment="1" applyProtection="1">
      <alignment horizontal="right"/>
    </xf>
    <xf numFmtId="0" fontId="31" fillId="9" borderId="0" xfId="0" applyFont="1" applyFill="1" applyBorder="1" applyAlignment="1" applyProtection="1">
      <alignment horizontal="right"/>
    </xf>
    <xf numFmtId="169" fontId="23" fillId="9" borderId="0" xfId="1" applyNumberFormat="1" applyFont="1" applyFill="1"/>
    <xf numFmtId="0" fontId="43" fillId="9" borderId="0" xfId="0" applyFont="1" applyFill="1" applyProtection="1"/>
    <xf numFmtId="5" fontId="38" fillId="9" borderId="0" xfId="21" applyNumberFormat="1" applyFont="1" applyFill="1" applyBorder="1" applyAlignment="1" applyProtection="1">
      <alignment horizontal="right"/>
    </xf>
    <xf numFmtId="0" fontId="42" fillId="9" borderId="0" xfId="0" applyFont="1" applyFill="1" applyBorder="1" applyAlignment="1" applyProtection="1">
      <alignment horizontal="right"/>
    </xf>
    <xf numFmtId="41" fontId="30" fillId="9" borderId="0" xfId="0" applyNumberFormat="1" applyFont="1" applyFill="1" applyBorder="1" applyProtection="1"/>
    <xf numFmtId="39" fontId="30" fillId="9" borderId="0" xfId="0" applyNumberFormat="1" applyFont="1" applyFill="1" applyAlignment="1" applyProtection="1">
      <alignment horizontal="center"/>
    </xf>
    <xf numFmtId="0" fontId="23" fillId="0" borderId="10" xfId="0" applyFont="1" applyBorder="1"/>
    <xf numFmtId="0" fontId="23" fillId="0" borderId="11" xfId="0" applyFont="1" applyBorder="1"/>
    <xf numFmtId="0" fontId="23" fillId="0" borderId="4" xfId="0" applyFont="1" applyBorder="1"/>
    <xf numFmtId="0" fontId="23" fillId="0" borderId="6" xfId="0" applyFont="1" applyBorder="1"/>
    <xf numFmtId="0" fontId="23" fillId="0" borderId="0" xfId="0" applyFont="1" applyBorder="1" applyAlignment="1">
      <alignment horizontal="right"/>
    </xf>
    <xf numFmtId="0" fontId="23" fillId="0" borderId="6" xfId="0" applyFont="1" applyBorder="1" applyAlignment="1">
      <alignment horizontal="right"/>
    </xf>
    <xf numFmtId="3" fontId="23" fillId="0" borderId="0" xfId="0" applyNumberFormat="1" applyFont="1" applyBorder="1"/>
    <xf numFmtId="0" fontId="23" fillId="0" borderId="41" xfId="0" applyFont="1" applyBorder="1"/>
    <xf numFmtId="0" fontId="23" fillId="0" borderId="8" xfId="0" applyFont="1" applyBorder="1"/>
    <xf numFmtId="0" fontId="23" fillId="0" borderId="9" xfId="0" applyFont="1" applyBorder="1"/>
    <xf numFmtId="0" fontId="23" fillId="0" borderId="7" xfId="0" applyFont="1" applyBorder="1"/>
    <xf numFmtId="1" fontId="23" fillId="0" borderId="0" xfId="0" applyNumberFormat="1" applyFont="1"/>
    <xf numFmtId="5" fontId="23" fillId="0" borderId="0" xfId="0" applyNumberFormat="1" applyFont="1"/>
    <xf numFmtId="6" fontId="23" fillId="0" borderId="0" xfId="0" applyNumberFormat="1" applyFont="1"/>
    <xf numFmtId="6" fontId="23" fillId="11" borderId="0" xfId="0" applyNumberFormat="1" applyFont="1" applyFill="1"/>
    <xf numFmtId="0" fontId="23" fillId="0" borderId="5" xfId="0" applyFont="1" applyBorder="1"/>
    <xf numFmtId="0" fontId="23" fillId="13" borderId="0" xfId="0" applyFont="1" applyFill="1"/>
    <xf numFmtId="6" fontId="23" fillId="13" borderId="0" xfId="0" applyNumberFormat="1" applyFont="1" applyFill="1"/>
    <xf numFmtId="5" fontId="23" fillId="11" borderId="0" xfId="0" applyNumberFormat="1" applyFont="1" applyFill="1"/>
    <xf numFmtId="9" fontId="23" fillId="11" borderId="0" xfId="0" applyNumberFormat="1" applyFont="1" applyFill="1"/>
    <xf numFmtId="0" fontId="23" fillId="12" borderId="0" xfId="0" applyFont="1" applyFill="1"/>
    <xf numFmtId="9" fontId="23" fillId="0" borderId="0" xfId="0" applyNumberFormat="1" applyFont="1"/>
    <xf numFmtId="9" fontId="23" fillId="0" borderId="4" xfId="0" applyNumberFormat="1" applyFont="1" applyBorder="1"/>
    <xf numFmtId="0" fontId="23" fillId="0" borderId="0" xfId="0" applyFont="1" applyAlignment="1">
      <alignment horizontal="left" indent="2"/>
    </xf>
    <xf numFmtId="0" fontId="23" fillId="11" borderId="0" xfId="0" applyFont="1" applyFill="1" applyAlignment="1">
      <alignment horizontal="left" indent="2"/>
    </xf>
    <xf numFmtId="3" fontId="23" fillId="11" borderId="0" xfId="0" applyNumberFormat="1" applyFont="1" applyFill="1"/>
    <xf numFmtId="0" fontId="23" fillId="14" borderId="0" xfId="0" applyFont="1" applyFill="1"/>
    <xf numFmtId="6" fontId="23" fillId="14" borderId="0" xfId="0" applyNumberFormat="1" applyFont="1" applyFill="1"/>
    <xf numFmtId="0" fontId="23" fillId="0" borderId="0" xfId="0" applyFont="1" applyAlignment="1">
      <alignment horizontal="right"/>
    </xf>
    <xf numFmtId="0" fontId="23" fillId="11" borderId="0" xfId="0" applyFont="1" applyFill="1" applyAlignment="1">
      <alignment horizontal="left" indent="1"/>
    </xf>
    <xf numFmtId="0" fontId="23" fillId="0" borderId="0" xfId="0" applyFont="1" applyAlignment="1">
      <alignment horizontal="left"/>
    </xf>
    <xf numFmtId="0" fontId="23" fillId="0" borderId="0" xfId="0" applyFont="1" applyAlignment="1">
      <alignment horizontal="left" indent="1"/>
    </xf>
    <xf numFmtId="0" fontId="44" fillId="0" borderId="0" xfId="0" applyFont="1"/>
    <xf numFmtId="0" fontId="23" fillId="11" borderId="41" xfId="0" applyFont="1" applyFill="1" applyBorder="1"/>
    <xf numFmtId="10" fontId="44" fillId="0" borderId="0" xfId="0" applyNumberFormat="1" applyFont="1"/>
    <xf numFmtId="10" fontId="23" fillId="0" borderId="0" xfId="0" applyNumberFormat="1" applyFont="1"/>
    <xf numFmtId="0" fontId="23" fillId="11" borderId="42" xfId="0" applyFont="1" applyFill="1" applyBorder="1"/>
    <xf numFmtId="6" fontId="23" fillId="11" borderId="42" xfId="0" applyNumberFormat="1" applyFont="1" applyFill="1" applyBorder="1"/>
    <xf numFmtId="8" fontId="23" fillId="0" borderId="0" xfId="0" applyNumberFormat="1" applyFont="1"/>
    <xf numFmtId="8" fontId="44" fillId="0" borderId="0" xfId="0" applyNumberFormat="1" applyFont="1"/>
    <xf numFmtId="9" fontId="23" fillId="0" borderId="0" xfId="0" applyNumberFormat="1" applyFont="1" applyBorder="1"/>
    <xf numFmtId="9" fontId="23" fillId="0" borderId="8" xfId="0" applyNumberFormat="1" applyFont="1" applyBorder="1"/>
    <xf numFmtId="4" fontId="23" fillId="0" borderId="0" xfId="0" applyNumberFormat="1" applyFont="1"/>
    <xf numFmtId="37" fontId="23" fillId="0" borderId="0" xfId="0" applyNumberFormat="1" applyFont="1"/>
    <xf numFmtId="0" fontId="5" fillId="9" borderId="0" xfId="34" applyFont="1" applyFill="1"/>
    <xf numFmtId="0" fontId="46" fillId="9" borderId="0" xfId="34" applyFont="1" applyFill="1"/>
    <xf numFmtId="0" fontId="5" fillId="9" borderId="0" xfId="34" applyFont="1" applyFill="1" applyAlignment="1">
      <alignment horizontal="right" vertical="top"/>
    </xf>
    <xf numFmtId="0" fontId="5" fillId="9" borderId="0" xfId="34" applyFont="1" applyFill="1" applyAlignment="1">
      <alignment wrapText="1"/>
    </xf>
    <xf numFmtId="0" fontId="5" fillId="9" borderId="0" xfId="34" applyFont="1" applyFill="1" applyAlignment="1">
      <alignment horizontal="right"/>
    </xf>
    <xf numFmtId="0" fontId="45" fillId="9" borderId="0" xfId="34" applyFont="1" applyFill="1" applyAlignment="1"/>
    <xf numFmtId="0" fontId="45" fillId="9" borderId="0" xfId="34" applyFont="1" applyFill="1" applyAlignment="1">
      <alignment horizontal="left"/>
    </xf>
    <xf numFmtId="0" fontId="23" fillId="9" borderId="0" xfId="0" applyFont="1" applyFill="1" applyAlignment="1"/>
    <xf numFmtId="10" fontId="24" fillId="9" borderId="0" xfId="0" applyNumberFormat="1" applyFont="1" applyFill="1"/>
    <xf numFmtId="0" fontId="25" fillId="9" borderId="0" xfId="0" applyFont="1" applyFill="1" applyAlignment="1">
      <alignment horizontal="right"/>
    </xf>
    <xf numFmtId="181" fontId="25" fillId="9" borderId="0" xfId="0" applyNumberFormat="1" applyFont="1" applyFill="1" applyAlignment="1">
      <alignment horizontal="right"/>
    </xf>
    <xf numFmtId="173" fontId="23" fillId="9" borderId="0" xfId="0" applyNumberFormat="1" applyFont="1" applyFill="1"/>
    <xf numFmtId="0" fontId="23" fillId="9" borderId="0" xfId="0" applyFont="1" applyFill="1" applyAlignment="1" applyProtection="1"/>
    <xf numFmtId="44" fontId="23" fillId="9" borderId="0" xfId="2" applyFont="1" applyFill="1"/>
    <xf numFmtId="37" fontId="23" fillId="9" borderId="0" xfId="0" applyNumberFormat="1" applyFont="1" applyFill="1" applyBorder="1"/>
    <xf numFmtId="164" fontId="27" fillId="9" borderId="0" xfId="0" applyNumberFormat="1" applyFont="1" applyFill="1" applyBorder="1" applyAlignment="1" applyProtection="1">
      <alignment horizontal="left"/>
    </xf>
    <xf numFmtId="0" fontId="27" fillId="9" borderId="0" xfId="0" applyFont="1" applyFill="1" applyBorder="1" applyAlignment="1" applyProtection="1">
      <alignment vertical="center"/>
    </xf>
    <xf numFmtId="0" fontId="37" fillId="9" borderId="0" xfId="0" applyFont="1" applyFill="1" applyBorder="1" applyAlignment="1" applyProtection="1">
      <alignment vertical="center"/>
    </xf>
    <xf numFmtId="0" fontId="37" fillId="9" borderId="0" xfId="0" applyFont="1" applyFill="1" applyBorder="1" applyAlignment="1" applyProtection="1">
      <alignment horizontal="center"/>
    </xf>
    <xf numFmtId="0" fontId="55" fillId="9" borderId="0" xfId="0" applyFont="1" applyFill="1" applyBorder="1" applyAlignment="1" applyProtection="1"/>
    <xf numFmtId="0" fontId="37" fillId="9" borderId="0" xfId="0" applyFont="1" applyFill="1" applyBorder="1" applyAlignment="1" applyProtection="1"/>
    <xf numFmtId="0" fontId="37" fillId="9" borderId="0" xfId="0" applyFont="1" applyFill="1" applyBorder="1" applyAlignment="1" applyProtection="1">
      <alignment horizontal="left" vertical="center"/>
    </xf>
    <xf numFmtId="3" fontId="23" fillId="9" borderId="0" xfId="11" applyFont="1" applyFill="1" applyBorder="1" applyAlignment="1" applyProtection="1">
      <alignment horizontal="left" vertical="center"/>
    </xf>
    <xf numFmtId="6" fontId="25" fillId="9" borderId="0" xfId="21" applyNumberFormat="1" applyFont="1" applyFill="1" applyBorder="1" applyAlignment="1" applyProtection="1">
      <alignment vertical="center" wrapText="1"/>
    </xf>
    <xf numFmtId="3" fontId="23" fillId="0" borderId="0" xfId="11" applyFont="1" applyFill="1" applyAlignment="1" applyProtection="1">
      <alignment horizontal="left" vertical="center" wrapText="1"/>
    </xf>
    <xf numFmtId="3" fontId="38" fillId="2" borderId="0" xfId="11" applyFont="1" applyFill="1" applyAlignment="1">
      <alignment horizontal="left" vertical="center"/>
    </xf>
    <xf numFmtId="3" fontId="38" fillId="9" borderId="0" xfId="11" applyFont="1" applyFill="1" applyAlignment="1">
      <alignment horizontal="left" vertical="center"/>
    </xf>
    <xf numFmtId="3" fontId="38" fillId="2" borderId="0" xfId="11" applyFont="1" applyFill="1" applyAlignment="1">
      <alignment horizontal="right" vertical="center"/>
    </xf>
    <xf numFmtId="3" fontId="50" fillId="2" borderId="0" xfId="11" applyFont="1" applyFill="1" applyAlignment="1">
      <alignment horizontal="left" vertical="center"/>
    </xf>
    <xf numFmtId="3" fontId="50" fillId="2" borderId="0" xfId="11" applyFont="1" applyFill="1" applyBorder="1" applyAlignment="1">
      <alignment vertical="center"/>
    </xf>
    <xf numFmtId="3" fontId="50" fillId="2" borderId="0" xfId="11" applyFont="1" applyFill="1" applyBorder="1" applyAlignment="1">
      <alignment horizontal="right" vertical="center"/>
    </xf>
    <xf numFmtId="39" fontId="38" fillId="2" borderId="0" xfId="11" applyNumberFormat="1" applyFont="1" applyFill="1" applyBorder="1" applyAlignment="1">
      <alignment horizontal="left" vertical="center"/>
    </xf>
    <xf numFmtId="37" fontId="38" fillId="2" borderId="0" xfId="11" applyNumberFormat="1" applyFont="1" applyFill="1" applyBorder="1" applyAlignment="1">
      <alignment horizontal="left" vertical="center"/>
    </xf>
    <xf numFmtId="3" fontId="38" fillId="2" borderId="0" xfId="17" applyFont="1" applyFill="1" applyAlignment="1">
      <alignment horizontal="left" vertical="center"/>
    </xf>
    <xf numFmtId="41" fontId="38" fillId="2" borderId="0" xfId="17" applyNumberFormat="1" applyFont="1" applyFill="1" applyBorder="1" applyAlignment="1" applyProtection="1">
      <alignment horizontal="right" vertical="center"/>
    </xf>
    <xf numFmtId="41" fontId="41" fillId="2" borderId="0" xfId="17" applyNumberFormat="1" applyFont="1" applyFill="1" applyBorder="1" applyAlignment="1" applyProtection="1">
      <alignment horizontal="right" vertical="center"/>
    </xf>
    <xf numFmtId="10" fontId="41" fillId="2" borderId="0" xfId="20" applyNumberFormat="1" applyFont="1" applyFill="1" applyBorder="1" applyAlignment="1" applyProtection="1">
      <alignment horizontal="right" vertical="center"/>
    </xf>
    <xf numFmtId="3" fontId="38" fillId="2" borderId="0" xfId="17" applyFont="1" applyFill="1" applyBorder="1" applyAlignment="1">
      <alignment horizontal="left" vertical="center"/>
    </xf>
    <xf numFmtId="3" fontId="38" fillId="0" borderId="0" xfId="17" applyFont="1" applyFill="1" applyAlignment="1">
      <alignment horizontal="left" vertical="center"/>
    </xf>
    <xf numFmtId="41" fontId="38" fillId="2" borderId="0" xfId="17" applyNumberFormat="1" applyFont="1" applyFill="1" applyBorder="1" applyAlignment="1">
      <alignment horizontal="right" vertical="center"/>
    </xf>
    <xf numFmtId="3" fontId="50" fillId="2" borderId="0" xfId="17" applyFont="1" applyFill="1" applyAlignment="1">
      <alignment horizontal="left" vertical="center"/>
    </xf>
    <xf numFmtId="3" fontId="50" fillId="2" borderId="0" xfId="17" applyFont="1" applyFill="1" applyBorder="1" applyAlignment="1">
      <alignment horizontal="left" vertical="center"/>
    </xf>
    <xf numFmtId="3" fontId="38" fillId="9" borderId="0" xfId="17" applyFont="1" applyFill="1" applyAlignment="1">
      <alignment horizontal="left" vertical="center"/>
    </xf>
    <xf numFmtId="3" fontId="38" fillId="5" borderId="0" xfId="17" applyFont="1" applyFill="1" applyAlignment="1">
      <alignment horizontal="left" vertical="center"/>
    </xf>
    <xf numFmtId="37" fontId="38" fillId="2" borderId="0" xfId="17" applyNumberFormat="1" applyFont="1" applyFill="1" applyAlignment="1">
      <alignment horizontal="right" vertical="center"/>
    </xf>
    <xf numFmtId="37" fontId="38" fillId="2" borderId="0" xfId="17" applyNumberFormat="1" applyFont="1" applyFill="1" applyAlignment="1">
      <alignment horizontal="left" vertical="center"/>
    </xf>
    <xf numFmtId="37" fontId="38" fillId="2" borderId="0" xfId="11" applyNumberFormat="1" applyFont="1" applyFill="1" applyAlignment="1">
      <alignment horizontal="right" vertical="center"/>
    </xf>
    <xf numFmtId="37" fontId="38" fillId="2" borderId="0" xfId="11" applyNumberFormat="1" applyFont="1" applyFill="1" applyAlignment="1">
      <alignment horizontal="left" vertical="center"/>
    </xf>
    <xf numFmtId="0" fontId="25" fillId="0" borderId="5" xfId="4" applyFont="1" applyFill="1" applyBorder="1" applyAlignment="1">
      <alignment horizontal="left"/>
    </xf>
    <xf numFmtId="9" fontId="25" fillId="0" borderId="5" xfId="9" applyFont="1" applyBorder="1" applyAlignment="1">
      <alignment horizontal="left"/>
    </xf>
    <xf numFmtId="0" fontId="23" fillId="0" borderId="11" xfId="0" applyFont="1" applyBorder="1" applyAlignment="1">
      <alignment horizontal="center"/>
    </xf>
    <xf numFmtId="0" fontId="23" fillId="0" borderId="0" xfId="0" applyFont="1" applyBorder="1" applyAlignment="1">
      <alignment horizontal="left"/>
    </xf>
    <xf numFmtId="176" fontId="25" fillId="0" borderId="5" xfId="0" applyNumberFormat="1" applyFont="1" applyBorder="1" applyAlignment="1">
      <alignment horizontal="left"/>
    </xf>
    <xf numFmtId="176" fontId="23" fillId="0" borderId="10" xfId="0" applyNumberFormat="1" applyFont="1" applyBorder="1" applyAlignment="1">
      <alignment horizontal="left"/>
    </xf>
    <xf numFmtId="176" fontId="23" fillId="0" borderId="11" xfId="0" applyNumberFormat="1" applyFont="1" applyBorder="1" applyAlignment="1">
      <alignment horizontal="left"/>
    </xf>
    <xf numFmtId="0" fontId="25" fillId="0" borderId="5" xfId="0" applyFont="1" applyBorder="1"/>
    <xf numFmtId="0" fontId="23" fillId="0" borderId="52" xfId="4" applyFont="1" applyFill="1" applyBorder="1" applyAlignment="1">
      <alignment horizontal="left"/>
    </xf>
    <xf numFmtId="0" fontId="23" fillId="0" borderId="13" xfId="0" applyFont="1" applyBorder="1" applyAlignment="1">
      <alignment horizontal="right"/>
    </xf>
    <xf numFmtId="0" fontId="23" fillId="0" borderId="53" xfId="0" applyFont="1" applyBorder="1" applyAlignment="1">
      <alignment horizontal="right"/>
    </xf>
    <xf numFmtId="9" fontId="48" fillId="0" borderId="4" xfId="9" applyFont="1" applyBorder="1" applyAlignment="1">
      <alignment horizontal="left"/>
    </xf>
    <xf numFmtId="0" fontId="23" fillId="0" borderId="6" xfId="0" applyFont="1" applyBorder="1" applyAlignment="1">
      <alignment horizontal="center"/>
    </xf>
    <xf numFmtId="2" fontId="36" fillId="0" borderId="0" xfId="0" applyNumberFormat="1" applyFont="1" applyBorder="1" applyAlignment="1">
      <alignment horizontal="center"/>
    </xf>
    <xf numFmtId="2" fontId="36" fillId="0" borderId="6" xfId="0" applyNumberFormat="1" applyFont="1" applyBorder="1" applyAlignment="1">
      <alignment horizontal="center"/>
    </xf>
    <xf numFmtId="9" fontId="25" fillId="0" borderId="4" xfId="0" applyNumberFormat="1" applyFont="1" applyBorder="1" applyAlignment="1">
      <alignment horizontal="left"/>
    </xf>
    <xf numFmtId="3" fontId="25" fillId="0" borderId="0" xfId="0" applyNumberFormat="1" applyFont="1" applyBorder="1"/>
    <xf numFmtId="3" fontId="25" fillId="0" borderId="6" xfId="0" applyNumberFormat="1" applyFont="1" applyBorder="1"/>
    <xf numFmtId="0" fontId="25" fillId="0" borderId="4" xfId="0" applyFont="1" applyBorder="1" applyAlignment="1">
      <alignment horizontal="right"/>
    </xf>
    <xf numFmtId="0" fontId="25" fillId="0" borderId="0" xfId="0" applyFont="1" applyBorder="1" applyAlignment="1">
      <alignment horizontal="right"/>
    </xf>
    <xf numFmtId="0" fontId="25" fillId="0" borderId="6" xfId="0" applyFont="1" applyBorder="1" applyAlignment="1">
      <alignment horizontal="right"/>
    </xf>
    <xf numFmtId="3" fontId="23" fillId="0" borderId="4" xfId="0" applyNumberFormat="1" applyFont="1" applyBorder="1" applyAlignment="1">
      <alignment horizontal="left" indent="1"/>
    </xf>
    <xf numFmtId="3" fontId="23" fillId="0" borderId="0" xfId="0" applyNumberFormat="1" applyFont="1" applyBorder="1" applyAlignment="1">
      <alignment horizontal="right"/>
    </xf>
    <xf numFmtId="3" fontId="25" fillId="0" borderId="0" xfId="0" applyNumberFormat="1" applyFont="1" applyFill="1" applyBorder="1" applyAlignment="1">
      <alignment horizontal="right"/>
    </xf>
    <xf numFmtId="10" fontId="23" fillId="0" borderId="6" xfId="0" applyNumberFormat="1" applyFont="1" applyBorder="1" applyAlignment="1">
      <alignment horizontal="right"/>
    </xf>
    <xf numFmtId="0" fontId="25" fillId="0" borderId="4" xfId="0" applyFont="1" applyBorder="1" applyAlignment="1">
      <alignment horizontal="left"/>
    </xf>
    <xf numFmtId="177" fontId="25" fillId="0" borderId="0" xfId="0" applyNumberFormat="1" applyFont="1" applyBorder="1"/>
    <xf numFmtId="177" fontId="25" fillId="0" borderId="6" xfId="0" applyNumberFormat="1" applyFont="1" applyBorder="1"/>
    <xf numFmtId="9" fontId="23" fillId="3" borderId="4" xfId="0" applyNumberFormat="1" applyFont="1" applyFill="1" applyBorder="1" applyAlignment="1">
      <alignment horizontal="left"/>
    </xf>
    <xf numFmtId="3" fontId="23" fillId="3" borderId="0" xfId="0" applyNumberFormat="1" applyFont="1" applyFill="1" applyBorder="1"/>
    <xf numFmtId="3" fontId="23" fillId="3" borderId="6" xfId="0" applyNumberFormat="1" applyFont="1" applyFill="1" applyBorder="1"/>
    <xf numFmtId="9" fontId="23" fillId="0" borderId="4" xfId="0" applyNumberFormat="1" applyFont="1" applyBorder="1" applyAlignment="1">
      <alignment horizontal="left"/>
    </xf>
    <xf numFmtId="3" fontId="23" fillId="0" borderId="6" xfId="0" applyNumberFormat="1" applyFont="1" applyBorder="1"/>
    <xf numFmtId="0" fontId="23" fillId="0" borderId="2" xfId="0" applyFont="1" applyBorder="1" applyAlignment="1">
      <alignment horizontal="left"/>
    </xf>
    <xf numFmtId="3" fontId="23" fillId="0" borderId="49" xfId="0" applyNumberFormat="1" applyFont="1" applyBorder="1" applyAlignment="1">
      <alignment horizontal="left" indent="1"/>
    </xf>
    <xf numFmtId="0" fontId="23" fillId="0" borderId="41" xfId="0" applyFont="1" applyBorder="1" applyAlignment="1">
      <alignment horizontal="right"/>
    </xf>
    <xf numFmtId="3" fontId="23" fillId="0" borderId="41" xfId="0" applyNumberFormat="1" applyFont="1" applyBorder="1" applyAlignment="1">
      <alignment horizontal="right"/>
    </xf>
    <xf numFmtId="3" fontId="25" fillId="0" borderId="41" xfId="0" applyNumberFormat="1" applyFont="1" applyFill="1" applyBorder="1" applyAlignment="1">
      <alignment horizontal="right"/>
    </xf>
    <xf numFmtId="10" fontId="23" fillId="0" borderId="50" xfId="0" applyNumberFormat="1" applyFont="1" applyBorder="1" applyAlignment="1">
      <alignment horizontal="right"/>
    </xf>
    <xf numFmtId="3" fontId="23" fillId="0" borderId="47" xfId="0" applyNumberFormat="1" applyFont="1" applyBorder="1" applyAlignment="1">
      <alignment horizontal="left" indent="1"/>
    </xf>
    <xf numFmtId="0" fontId="23" fillId="0" borderId="42" xfId="0" applyFont="1" applyBorder="1" applyAlignment="1">
      <alignment horizontal="right"/>
    </xf>
    <xf numFmtId="3" fontId="23" fillId="0" borderId="42" xfId="0" applyNumberFormat="1" applyFont="1" applyBorder="1" applyAlignment="1">
      <alignment horizontal="right"/>
    </xf>
    <xf numFmtId="3" fontId="25" fillId="0" borderId="42" xfId="0" applyNumberFormat="1" applyFont="1" applyFill="1" applyBorder="1" applyAlignment="1">
      <alignment horizontal="right"/>
    </xf>
    <xf numFmtId="10" fontId="23" fillId="0" borderId="48" xfId="0" applyNumberFormat="1" applyFont="1" applyBorder="1" applyAlignment="1">
      <alignment horizontal="right"/>
    </xf>
    <xf numFmtId="0" fontId="23" fillId="0" borderId="4" xfId="0" applyFont="1" applyBorder="1" applyAlignment="1">
      <alignment horizontal="right"/>
    </xf>
    <xf numFmtId="0" fontId="44" fillId="0" borderId="0" xfId="0" applyFont="1" applyBorder="1"/>
    <xf numFmtId="9" fontId="49" fillId="0" borderId="43" xfId="0" applyNumberFormat="1" applyFont="1" applyBorder="1" applyAlignment="1">
      <alignment horizontal="left"/>
    </xf>
    <xf numFmtId="178" fontId="48" fillId="3" borderId="47" xfId="0" applyNumberFormat="1" applyFont="1" applyFill="1" applyBorder="1"/>
    <xf numFmtId="178" fontId="48" fillId="3" borderId="42" xfId="0" applyNumberFormat="1" applyFont="1" applyFill="1" applyBorder="1"/>
    <xf numFmtId="0" fontId="23" fillId="3" borderId="56" xfId="0" applyFont="1" applyFill="1" applyBorder="1" applyAlignment="1">
      <alignment horizontal="center" vertical="center" wrapText="1"/>
    </xf>
    <xf numFmtId="0" fontId="23" fillId="3" borderId="4" xfId="0" applyFont="1" applyFill="1" applyBorder="1"/>
    <xf numFmtId="0" fontId="23" fillId="3" borderId="0" xfId="0" applyFont="1" applyFill="1" applyBorder="1"/>
    <xf numFmtId="179" fontId="23" fillId="3" borderId="0" xfId="0" applyNumberFormat="1" applyFont="1" applyFill="1" applyBorder="1" applyAlignment="1">
      <alignment horizontal="center"/>
    </xf>
    <xf numFmtId="0" fontId="23" fillId="3" borderId="58" xfId="0" applyFont="1" applyFill="1" applyBorder="1" applyAlignment="1">
      <alignment horizontal="center" vertical="center" wrapText="1"/>
    </xf>
    <xf numFmtId="0" fontId="23" fillId="3" borderId="49" xfId="0" applyFont="1" applyFill="1" applyBorder="1" applyAlignment="1">
      <alignment horizontal="center"/>
    </xf>
    <xf numFmtId="0" fontId="23" fillId="3" borderId="41" xfId="4" applyFont="1" applyFill="1" applyBorder="1" applyAlignment="1">
      <alignment horizontal="center"/>
    </xf>
    <xf numFmtId="9" fontId="23" fillId="3" borderId="41" xfId="4" applyNumberFormat="1" applyFont="1" applyFill="1" applyBorder="1" applyAlignment="1">
      <alignment horizontal="center"/>
    </xf>
    <xf numFmtId="180" fontId="23" fillId="3" borderId="41" xfId="0" applyNumberFormat="1" applyFont="1" applyFill="1" applyBorder="1" applyAlignment="1">
      <alignment horizontal="center" wrapText="1"/>
    </xf>
    <xf numFmtId="0" fontId="23" fillId="3" borderId="57" xfId="0" applyFont="1" applyFill="1" applyBorder="1" applyAlignment="1">
      <alignment horizontal="center" vertical="center" wrapText="1"/>
    </xf>
    <xf numFmtId="0" fontId="23" fillId="0" borderId="51" xfId="4" applyFont="1" applyBorder="1" applyAlignment="1">
      <alignment horizontal="center"/>
    </xf>
    <xf numFmtId="3" fontId="23" fillId="10" borderId="0" xfId="0" applyNumberFormat="1" applyFont="1" applyFill="1" applyBorder="1"/>
    <xf numFmtId="3" fontId="23" fillId="10" borderId="6" xfId="0" applyNumberFormat="1" applyFont="1" applyFill="1" applyBorder="1"/>
    <xf numFmtId="0" fontId="23" fillId="3" borderId="54" xfId="0" applyFont="1" applyFill="1" applyBorder="1" applyAlignment="1">
      <alignment horizontal="center"/>
    </xf>
    <xf numFmtId="0" fontId="23" fillId="0" borderId="54" xfId="4" applyFont="1" applyBorder="1" applyAlignment="1">
      <alignment horizontal="center"/>
    </xf>
    <xf numFmtId="9" fontId="23" fillId="0" borderId="7" xfId="0" applyNumberFormat="1" applyFont="1" applyBorder="1" applyAlignment="1">
      <alignment horizontal="left"/>
    </xf>
    <xf numFmtId="3" fontId="23" fillId="0" borderId="8" xfId="0" applyNumberFormat="1" applyFont="1" applyBorder="1"/>
    <xf numFmtId="3" fontId="23" fillId="0" borderId="9" xfId="0" applyNumberFormat="1" applyFont="1" applyBorder="1"/>
    <xf numFmtId="3" fontId="23" fillId="0" borderId="7" xfId="0" applyNumberFormat="1" applyFont="1" applyBorder="1" applyAlignment="1">
      <alignment horizontal="left" indent="1"/>
    </xf>
    <xf numFmtId="0" fontId="23" fillId="0" borderId="8" xfId="0" applyFont="1" applyBorder="1" applyAlignment="1">
      <alignment horizontal="right"/>
    </xf>
    <xf numFmtId="3" fontId="23" fillId="0" borderId="8" xfId="0" applyNumberFormat="1" applyFont="1" applyBorder="1" applyAlignment="1">
      <alignment horizontal="right"/>
    </xf>
    <xf numFmtId="0" fontId="23" fillId="0" borderId="59" xfId="4" applyFont="1" applyBorder="1" applyAlignment="1">
      <alignment horizontal="center"/>
    </xf>
    <xf numFmtId="2" fontId="23" fillId="0" borderId="55" xfId="4" applyNumberFormat="1" applyFont="1" applyBorder="1" applyAlignment="1">
      <alignment horizontal="center"/>
    </xf>
    <xf numFmtId="3" fontId="25" fillId="0" borderId="55" xfId="0" applyNumberFormat="1" applyFont="1" applyFill="1" applyBorder="1" applyAlignment="1">
      <alignment horizontal="center"/>
    </xf>
    <xf numFmtId="3" fontId="25" fillId="0" borderId="8" xfId="0" applyNumberFormat="1" applyFont="1" applyBorder="1" applyAlignment="1">
      <alignment horizontal="right"/>
    </xf>
    <xf numFmtId="9" fontId="25" fillId="9" borderId="0" xfId="5" applyFont="1" applyFill="1" applyAlignment="1">
      <alignment horizontal="right"/>
    </xf>
    <xf numFmtId="169" fontId="25" fillId="9" borderId="0" xfId="1" applyNumberFormat="1" applyFont="1" applyFill="1"/>
    <xf numFmtId="169" fontId="23" fillId="9" borderId="0" xfId="1" applyNumberFormat="1" applyFont="1" applyFill="1" applyAlignment="1"/>
    <xf numFmtId="9" fontId="23" fillId="9" borderId="0" xfId="5" applyFont="1" applyFill="1" applyAlignment="1"/>
    <xf numFmtId="169" fontId="27" fillId="0" borderId="0" xfId="1" applyNumberFormat="1" applyFont="1" applyFill="1" applyBorder="1" applyAlignment="1" applyProtection="1"/>
    <xf numFmtId="9" fontId="27" fillId="9" borderId="0" xfId="5" applyFont="1" applyFill="1" applyBorder="1" applyAlignment="1" applyProtection="1"/>
    <xf numFmtId="169" fontId="27" fillId="9" borderId="0" xfId="1" applyNumberFormat="1" applyFont="1" applyFill="1" applyBorder="1" applyAlignment="1" applyProtection="1"/>
    <xf numFmtId="169" fontId="27" fillId="0" borderId="21" xfId="1" applyNumberFormat="1" applyFont="1" applyFill="1" applyBorder="1" applyAlignment="1" applyProtection="1">
      <alignment horizontal="center"/>
    </xf>
    <xf numFmtId="169" fontId="27" fillId="9" borderId="22" xfId="1" applyNumberFormat="1" applyFont="1" applyFill="1" applyBorder="1" applyAlignment="1" applyProtection="1">
      <alignment horizontal="center"/>
    </xf>
    <xf numFmtId="169" fontId="30" fillId="0" borderId="17" xfId="1" applyNumberFormat="1" applyFont="1" applyFill="1" applyBorder="1" applyProtection="1"/>
    <xf numFmtId="169" fontId="30" fillId="9" borderId="24" xfId="1" applyNumberFormat="1" applyFont="1" applyFill="1" applyBorder="1" applyAlignment="1" applyProtection="1">
      <alignment horizontal="right"/>
    </xf>
    <xf numFmtId="169" fontId="30" fillId="0" borderId="26" xfId="1" applyNumberFormat="1" applyFont="1" applyFill="1" applyBorder="1" applyProtection="1"/>
    <xf numFmtId="169" fontId="30" fillId="9" borderId="27" xfId="1" applyNumberFormat="1" applyFont="1" applyFill="1" applyBorder="1" applyAlignment="1" applyProtection="1">
      <alignment horizontal="right"/>
    </xf>
    <xf numFmtId="9" fontId="30" fillId="0" borderId="17" xfId="5" applyFont="1" applyFill="1" applyBorder="1" applyProtection="1"/>
    <xf numFmtId="169" fontId="27" fillId="9" borderId="27" xfId="1" applyNumberFormat="1" applyFont="1" applyFill="1" applyBorder="1" applyAlignment="1" applyProtection="1">
      <alignment horizontal="right"/>
    </xf>
    <xf numFmtId="10" fontId="30" fillId="0" borderId="17" xfId="5" applyNumberFormat="1" applyFont="1" applyFill="1" applyBorder="1" applyProtection="1"/>
    <xf numFmtId="169" fontId="30" fillId="0" borderId="24" xfId="1" applyNumberFormat="1" applyFont="1" applyFill="1" applyBorder="1" applyProtection="1"/>
    <xf numFmtId="43" fontId="30" fillId="0" borderId="17" xfId="1" applyNumberFormat="1" applyFont="1" applyFill="1" applyBorder="1" applyProtection="1"/>
    <xf numFmtId="169" fontId="30" fillId="9" borderId="24" xfId="1" applyNumberFormat="1" applyFont="1" applyFill="1" applyBorder="1" applyProtection="1"/>
    <xf numFmtId="169" fontId="30" fillId="0" borderId="17" xfId="1" applyNumberFormat="1" applyFont="1" applyFill="1" applyBorder="1" applyAlignment="1" applyProtection="1">
      <alignment horizontal="right"/>
    </xf>
    <xf numFmtId="169" fontId="30" fillId="9" borderId="27" xfId="1" applyNumberFormat="1" applyFont="1" applyFill="1" applyBorder="1" applyProtection="1"/>
    <xf numFmtId="169" fontId="23" fillId="0" borderId="0" xfId="1" applyNumberFormat="1" applyFont="1" applyFill="1"/>
    <xf numFmtId="169" fontId="38" fillId="9" borderId="0" xfId="1" applyNumberFormat="1" applyFont="1" applyFill="1" applyAlignment="1">
      <alignment horizontal="left" vertical="top"/>
    </xf>
    <xf numFmtId="0" fontId="30" fillId="0" borderId="0" xfId="0" applyFont="1" applyFill="1" applyBorder="1" applyAlignment="1" applyProtection="1">
      <alignment horizontal="center"/>
    </xf>
    <xf numFmtId="0" fontId="25" fillId="0" borderId="0" xfId="0" applyFont="1"/>
    <xf numFmtId="0" fontId="62" fillId="9" borderId="28" xfId="0" applyFont="1" applyFill="1" applyBorder="1" applyAlignment="1" applyProtection="1">
      <alignment horizontal="left"/>
    </xf>
    <xf numFmtId="0" fontId="0" fillId="0" borderId="0" xfId="0"/>
    <xf numFmtId="0" fontId="42" fillId="9" borderId="74" xfId="0" applyFont="1" applyFill="1" applyBorder="1" applyAlignment="1" applyProtection="1">
      <alignment horizontal="right"/>
    </xf>
    <xf numFmtId="0" fontId="23" fillId="9" borderId="0" xfId="0" applyFont="1" applyFill="1" applyBorder="1" applyAlignment="1" applyProtection="1"/>
    <xf numFmtId="0" fontId="53" fillId="9" borderId="0" xfId="0" applyFont="1" applyFill="1" applyBorder="1" applyAlignment="1" applyProtection="1">
      <alignment horizontal="right"/>
    </xf>
    <xf numFmtId="0" fontId="23" fillId="0" borderId="0" xfId="0" applyFont="1" applyFill="1" applyBorder="1" applyProtection="1"/>
    <xf numFmtId="37" fontId="63" fillId="9" borderId="0" xfId="0" applyNumberFormat="1" applyFont="1" applyFill="1" applyBorder="1" applyProtection="1"/>
    <xf numFmtId="0" fontId="30" fillId="0" borderId="0" xfId="0" applyFont="1" applyFill="1" applyBorder="1" applyProtection="1"/>
    <xf numFmtId="168" fontId="24" fillId="0" borderId="0" xfId="19" applyNumberFormat="1" applyFont="1" applyFill="1" applyBorder="1" applyAlignment="1" applyProtection="1">
      <alignment horizontal="right" vertical="top" wrapText="1"/>
    </xf>
    <xf numFmtId="37" fontId="30" fillId="0" borderId="0" xfId="0" applyNumberFormat="1" applyFont="1" applyFill="1" applyBorder="1" applyProtection="1"/>
    <xf numFmtId="43" fontId="33" fillId="9" borderId="28" xfId="0" applyNumberFormat="1" applyFont="1" applyFill="1" applyBorder="1" applyAlignment="1" applyProtection="1">
      <alignment horizontal="center" wrapText="1"/>
    </xf>
    <xf numFmtId="167" fontId="27" fillId="0" borderId="0" xfId="2" applyNumberFormat="1" applyFont="1" applyFill="1" applyBorder="1" applyAlignment="1" applyProtection="1">
      <alignment horizontal="center" wrapText="1"/>
    </xf>
    <xf numFmtId="167" fontId="32" fillId="0" borderId="32" xfId="2" applyNumberFormat="1" applyFont="1" applyFill="1" applyBorder="1" applyAlignment="1" applyProtection="1">
      <alignment horizontal="right"/>
    </xf>
    <xf numFmtId="167" fontId="27" fillId="3" borderId="32" xfId="2" applyNumberFormat="1" applyFont="1" applyFill="1" applyBorder="1" applyAlignment="1" applyProtection="1">
      <alignment horizontal="right"/>
    </xf>
    <xf numFmtId="0" fontId="45" fillId="9" borderId="0" xfId="34" applyFont="1" applyFill="1"/>
    <xf numFmtId="0" fontId="25" fillId="9" borderId="0" xfId="0" applyFont="1" applyFill="1" applyBorder="1" applyAlignment="1" applyProtection="1">
      <alignment horizontal="right"/>
    </xf>
    <xf numFmtId="0" fontId="23" fillId="0" borderId="17" xfId="0" applyFont="1" applyFill="1" applyBorder="1" applyAlignment="1" applyProtection="1">
      <alignment horizontal="center"/>
    </xf>
    <xf numFmtId="0" fontId="68" fillId="9" borderId="0" xfId="0" applyFont="1" applyFill="1" applyBorder="1" applyAlignment="1" applyProtection="1">
      <alignment horizontal="center"/>
    </xf>
    <xf numFmtId="5" fontId="24" fillId="9" borderId="17" xfId="0" applyNumberFormat="1" applyFont="1" applyFill="1" applyBorder="1" applyAlignment="1" applyProtection="1"/>
    <xf numFmtId="0" fontId="23" fillId="0" borderId="0" xfId="0" applyFont="1" applyProtection="1"/>
    <xf numFmtId="0" fontId="23" fillId="5" borderId="71" xfId="0" applyFont="1" applyFill="1" applyBorder="1" applyAlignment="1" applyProtection="1">
      <alignment horizontal="center"/>
      <protection locked="0"/>
    </xf>
    <xf numFmtId="0" fontId="23" fillId="0" borderId="0" xfId="0" applyFont="1" applyBorder="1" applyProtection="1"/>
    <xf numFmtId="0" fontId="23" fillId="0" borderId="17" xfId="0" applyFont="1" applyFill="1" applyBorder="1" applyAlignment="1" applyProtection="1">
      <alignment horizontal="right"/>
    </xf>
    <xf numFmtId="3" fontId="25" fillId="0" borderId="71" xfId="0" applyNumberFormat="1" applyFont="1" applyFill="1" applyBorder="1" applyAlignment="1">
      <alignment horizontal="center"/>
    </xf>
    <xf numFmtId="0" fontId="23" fillId="0" borderId="69" xfId="4" applyFont="1" applyBorder="1" applyAlignment="1">
      <alignment horizontal="center"/>
    </xf>
    <xf numFmtId="39" fontId="23" fillId="0" borderId="69" xfId="4" applyNumberFormat="1" applyFont="1" applyBorder="1" applyAlignment="1">
      <alignment horizontal="center"/>
    </xf>
    <xf numFmtId="0" fontId="23" fillId="3" borderId="71" xfId="0" applyFont="1" applyFill="1" applyBorder="1" applyAlignment="1">
      <alignment horizontal="center"/>
    </xf>
    <xf numFmtId="2" fontId="23" fillId="0" borderId="71" xfId="4" applyNumberFormat="1" applyFont="1" applyBorder="1" applyAlignment="1">
      <alignment horizontal="center"/>
    </xf>
    <xf numFmtId="41" fontId="41" fillId="0" borderId="80" xfId="17" applyNumberFormat="1" applyFont="1" applyFill="1" applyBorder="1" applyAlignment="1" applyProtection="1">
      <alignment horizontal="right" vertical="center"/>
    </xf>
    <xf numFmtId="185" fontId="23" fillId="5" borderId="71" xfId="0" applyNumberFormat="1" applyFont="1" applyFill="1" applyBorder="1" applyAlignment="1" applyProtection="1">
      <alignment horizontal="center"/>
      <protection locked="0"/>
    </xf>
    <xf numFmtId="38" fontId="23" fillId="5" borderId="41" xfId="0" applyNumberFormat="1" applyFont="1" applyFill="1" applyBorder="1" applyAlignment="1" applyProtection="1">
      <alignment horizontal="right" indent="2"/>
      <protection locked="0"/>
    </xf>
    <xf numFmtId="10" fontId="23" fillId="5" borderId="41" xfId="9" applyNumberFormat="1" applyFont="1" applyFill="1" applyBorder="1" applyProtection="1">
      <protection locked="0"/>
    </xf>
    <xf numFmtId="41" fontId="23" fillId="0" borderId="0" xfId="0" applyNumberFormat="1" applyFont="1" applyFill="1" applyBorder="1" applyAlignment="1" applyProtection="1">
      <alignment horizontal="right"/>
    </xf>
    <xf numFmtId="168" fontId="23" fillId="9" borderId="0" xfId="0" applyNumberFormat="1" applyFont="1" applyFill="1" applyBorder="1" applyAlignment="1">
      <alignment horizontal="right"/>
    </xf>
    <xf numFmtId="0" fontId="5" fillId="9" borderId="0" xfId="34" applyFont="1" applyFill="1" applyBorder="1"/>
    <xf numFmtId="0" fontId="25" fillId="9" borderId="0" xfId="0" applyFont="1" applyFill="1" applyBorder="1" applyAlignment="1">
      <alignment horizontal="right" vertical="top"/>
    </xf>
    <xf numFmtId="168" fontId="25" fillId="9" borderId="0" xfId="0" applyNumberFormat="1" applyFont="1" applyFill="1" applyBorder="1" applyAlignment="1">
      <alignment horizontal="right"/>
    </xf>
    <xf numFmtId="168" fontId="23" fillId="9" borderId="0" xfId="0" applyNumberFormat="1" applyFont="1" applyFill="1" applyBorder="1" applyAlignment="1">
      <alignment horizontal="left" vertical="top" wrapText="1"/>
    </xf>
    <xf numFmtId="168" fontId="23" fillId="9" borderId="0" xfId="0" applyNumberFormat="1" applyFont="1" applyFill="1" applyBorder="1" applyAlignment="1">
      <alignment horizontal="left" wrapText="1"/>
    </xf>
    <xf numFmtId="3" fontId="23" fillId="9" borderId="0" xfId="0" applyNumberFormat="1" applyFont="1" applyFill="1" applyBorder="1" applyProtection="1"/>
    <xf numFmtId="0" fontId="24" fillId="9" borderId="0" xfId="0" applyFont="1" applyFill="1" applyProtection="1"/>
    <xf numFmtId="0" fontId="23" fillId="9" borderId="0" xfId="0" applyFont="1" applyFill="1" applyProtection="1"/>
    <xf numFmtId="0" fontId="34" fillId="9" borderId="0" xfId="0" applyFont="1" applyFill="1" applyAlignment="1" applyProtection="1">
      <alignment horizontal="right"/>
    </xf>
    <xf numFmtId="0" fontId="25" fillId="9" borderId="0" xfId="0" applyFont="1" applyFill="1" applyAlignment="1" applyProtection="1">
      <alignment horizontal="right"/>
    </xf>
    <xf numFmtId="0" fontId="35" fillId="9" borderId="0" xfId="0" applyFont="1" applyFill="1" applyProtection="1"/>
    <xf numFmtId="0" fontId="24" fillId="0" borderId="0" xfId="0" applyFont="1" applyFill="1" applyProtection="1"/>
    <xf numFmtId="0" fontId="25" fillId="0" borderId="0" xfId="0" applyFont="1" applyFill="1" applyBorder="1" applyProtection="1"/>
    <xf numFmtId="0" fontId="23" fillId="0" borderId="0" xfId="0" applyFont="1" applyFill="1" applyBorder="1" applyAlignment="1" applyProtection="1">
      <alignment vertical="top"/>
    </xf>
    <xf numFmtId="172" fontId="23" fillId="0" borderId="0" xfId="19" applyFont="1" applyFill="1" applyBorder="1" applyAlignment="1" applyProtection="1">
      <alignment horizontal="right" vertical="top" wrapText="1"/>
    </xf>
    <xf numFmtId="168" fontId="23" fillId="0" borderId="0" xfId="19" applyNumberFormat="1" applyFont="1" applyFill="1" applyBorder="1" applyAlignment="1" applyProtection="1">
      <alignment horizontal="right" vertical="top" wrapText="1"/>
    </xf>
    <xf numFmtId="0" fontId="23" fillId="9" borderId="28" xfId="0" applyFont="1" applyFill="1" applyBorder="1" applyAlignment="1" applyProtection="1">
      <alignment horizontal="right"/>
    </xf>
    <xf numFmtId="6" fontId="23" fillId="9" borderId="17" xfId="0" applyNumberFormat="1" applyFont="1" applyFill="1" applyBorder="1" applyAlignment="1" applyProtection="1">
      <alignment horizontal="right"/>
    </xf>
    <xf numFmtId="6" fontId="23" fillId="0" borderId="0" xfId="19" applyNumberFormat="1" applyFont="1" applyFill="1" applyBorder="1" applyAlignment="1" applyProtection="1">
      <alignment horizontal="right" vertical="top" wrapText="1"/>
    </xf>
    <xf numFmtId="3" fontId="23" fillId="0" borderId="17" xfId="0" applyNumberFormat="1" applyFont="1" applyFill="1" applyBorder="1" applyAlignment="1" applyProtection="1">
      <alignment horizontal="right"/>
    </xf>
    <xf numFmtId="9" fontId="23" fillId="0" borderId="0" xfId="9" applyFont="1" applyFill="1" applyBorder="1" applyAlignment="1" applyProtection="1">
      <alignment horizontal="right" vertical="top" wrapText="1"/>
    </xf>
    <xf numFmtId="170" fontId="23" fillId="0" borderId="0" xfId="19" applyNumberFormat="1" applyFont="1" applyFill="1" applyBorder="1" applyAlignment="1" applyProtection="1">
      <alignment horizontal="right" vertical="top" wrapText="1"/>
    </xf>
    <xf numFmtId="10" fontId="23" fillId="0" borderId="0" xfId="9" applyNumberFormat="1" applyFont="1" applyFill="1" applyBorder="1" applyAlignment="1" applyProtection="1">
      <alignment horizontal="right" vertical="top" wrapText="1"/>
    </xf>
    <xf numFmtId="0" fontId="34" fillId="0" borderId="0" xfId="0" applyFont="1" applyAlignment="1" applyProtection="1">
      <alignment horizontal="right"/>
    </xf>
    <xf numFmtId="3" fontId="23" fillId="0" borderId="0" xfId="0" applyNumberFormat="1" applyFont="1" applyFill="1" applyBorder="1" applyAlignment="1" applyProtection="1">
      <alignment horizontal="right"/>
    </xf>
    <xf numFmtId="168" fontId="25" fillId="0" borderId="0" xfId="19" applyNumberFormat="1" applyFont="1" applyFill="1" applyBorder="1" applyAlignment="1" applyProtection="1">
      <alignment horizontal="right" vertical="top" wrapText="1"/>
    </xf>
    <xf numFmtId="6" fontId="23" fillId="0" borderId="0" xfId="9" applyNumberFormat="1" applyFont="1" applyFill="1" applyBorder="1" applyAlignment="1" applyProtection="1">
      <alignment horizontal="right" vertical="top" wrapText="1"/>
    </xf>
    <xf numFmtId="0" fontId="36" fillId="0" borderId="0" xfId="0" applyFont="1" applyFill="1" applyBorder="1" applyProtection="1"/>
    <xf numFmtId="169" fontId="23" fillId="9" borderId="0" xfId="1" applyNumberFormat="1" applyFont="1" applyFill="1" applyProtection="1"/>
    <xf numFmtId="0" fontId="43" fillId="0" borderId="0" xfId="0" applyFont="1" applyProtection="1"/>
    <xf numFmtId="9" fontId="23" fillId="0" borderId="0" xfId="19" applyNumberFormat="1" applyFont="1" applyFill="1" applyBorder="1" applyAlignment="1" applyProtection="1">
      <alignment horizontal="right" vertical="top" wrapText="1"/>
    </xf>
    <xf numFmtId="5" fontId="25" fillId="9" borderId="32" xfId="0" applyNumberFormat="1" applyFont="1" applyFill="1" applyBorder="1" applyAlignment="1" applyProtection="1">
      <alignment horizontal="right"/>
    </xf>
    <xf numFmtId="5" fontId="25" fillId="0" borderId="32" xfId="0" applyNumberFormat="1" applyFont="1" applyFill="1" applyBorder="1" applyAlignment="1" applyProtection="1">
      <alignment horizontal="right"/>
    </xf>
    <xf numFmtId="0" fontId="60" fillId="9" borderId="0" xfId="0" applyFont="1" applyFill="1" applyProtection="1"/>
    <xf numFmtId="5" fontId="61" fillId="0" borderId="0" xfId="0" applyNumberFormat="1" applyFont="1" applyFill="1" applyBorder="1" applyAlignment="1" applyProtection="1">
      <alignment horizontal="right"/>
    </xf>
    <xf numFmtId="5" fontId="25" fillId="0" borderId="0" xfId="0" applyNumberFormat="1" applyFont="1" applyFill="1" applyBorder="1" applyAlignment="1" applyProtection="1">
      <alignment horizontal="right"/>
    </xf>
    <xf numFmtId="0" fontId="60" fillId="9" borderId="0" xfId="0" applyFont="1" applyFill="1" applyBorder="1" applyProtection="1"/>
    <xf numFmtId="6" fontId="38" fillId="9" borderId="0" xfId="21" applyNumberFormat="1" applyFont="1" applyFill="1" applyBorder="1" applyAlignment="1" applyProtection="1">
      <alignment horizontal="right" wrapText="1"/>
    </xf>
    <xf numFmtId="5" fontId="23" fillId="9" borderId="0" xfId="0" applyNumberFormat="1" applyFont="1" applyFill="1" applyProtection="1"/>
    <xf numFmtId="6" fontId="23" fillId="0" borderId="17" xfId="0" applyNumberFormat="1" applyFont="1" applyFill="1" applyBorder="1" applyAlignment="1" applyProtection="1">
      <alignment horizontal="right"/>
    </xf>
    <xf numFmtId="0" fontId="25" fillId="9" borderId="0" xfId="0" applyFont="1" applyFill="1" applyBorder="1" applyProtection="1"/>
    <xf numFmtId="6" fontId="23" fillId="9" borderId="0" xfId="0" applyNumberFormat="1" applyFont="1" applyFill="1" applyBorder="1" applyAlignment="1" applyProtection="1">
      <alignment horizontal="center"/>
    </xf>
    <xf numFmtId="168" fontId="23" fillId="9" borderId="0" xfId="0" applyNumberFormat="1" applyFont="1" applyFill="1" applyAlignment="1" applyProtection="1">
      <alignment horizontal="right"/>
    </xf>
    <xf numFmtId="0" fontId="25" fillId="9" borderId="0" xfId="0" applyFont="1" applyFill="1" applyProtection="1"/>
    <xf numFmtId="0" fontId="25" fillId="9" borderId="0" xfId="0" applyFont="1" applyFill="1" applyAlignment="1" applyProtection="1">
      <alignment horizontal="right" vertical="top"/>
    </xf>
    <xf numFmtId="0" fontId="23" fillId="9" borderId="0" xfId="0" quotePrefix="1" applyFont="1" applyFill="1" applyProtection="1"/>
    <xf numFmtId="168" fontId="23" fillId="0" borderId="0" xfId="0" applyNumberFormat="1" applyFont="1" applyAlignment="1" applyProtection="1">
      <alignment horizontal="right"/>
    </xf>
    <xf numFmtId="3" fontId="23" fillId="5" borderId="17" xfId="0" applyNumberFormat="1" applyFont="1" applyFill="1" applyBorder="1" applyAlignment="1" applyProtection="1">
      <alignment horizontal="right"/>
      <protection locked="0"/>
    </xf>
    <xf numFmtId="3" fontId="23" fillId="5" borderId="17" xfId="0" applyNumberFormat="1" applyFont="1" applyFill="1" applyBorder="1" applyAlignment="1" applyProtection="1">
      <alignment horizontal="center"/>
      <protection locked="0"/>
    </xf>
    <xf numFmtId="167" fontId="23" fillId="5" borderId="17" xfId="8" applyNumberFormat="1" applyFont="1" applyFill="1" applyBorder="1" applyAlignment="1" applyProtection="1">
      <alignment horizontal="right"/>
      <protection locked="0"/>
    </xf>
    <xf numFmtId="3" fontId="23" fillId="0" borderId="69" xfId="0" applyNumberFormat="1" applyFont="1" applyBorder="1" applyAlignment="1">
      <alignment horizontal="right"/>
    </xf>
    <xf numFmtId="0" fontId="48" fillId="0" borderId="0" xfId="0" applyFont="1" applyAlignment="1">
      <alignment horizontal="center"/>
    </xf>
    <xf numFmtId="0" fontId="23" fillId="0" borderId="0" xfId="3" applyFont="1"/>
    <xf numFmtId="0" fontId="23" fillId="0" borderId="64" xfId="0" applyFont="1" applyBorder="1" applyAlignment="1">
      <alignment horizontal="center"/>
    </xf>
    <xf numFmtId="0" fontId="23" fillId="0" borderId="71" xfId="0" applyFont="1" applyBorder="1" applyAlignment="1">
      <alignment horizontal="center"/>
    </xf>
    <xf numFmtId="0" fontId="23" fillId="0" borderId="64" xfId="3" applyFont="1" applyBorder="1"/>
    <xf numFmtId="0" fontId="23" fillId="0" borderId="43" xfId="0" applyFont="1" applyBorder="1"/>
    <xf numFmtId="0" fontId="23" fillId="0" borderId="39" xfId="0" applyFont="1" applyBorder="1" applyAlignment="1">
      <alignment horizontal="center"/>
    </xf>
    <xf numFmtId="0" fontId="56" fillId="0" borderId="0" xfId="0" applyFont="1" applyAlignment="1">
      <alignment horizontal="right"/>
    </xf>
    <xf numFmtId="183" fontId="56" fillId="0" borderId="0" xfId="0" applyNumberFormat="1" applyFont="1" applyAlignment="1">
      <alignment horizontal="right" vertical="center" indent="1"/>
    </xf>
    <xf numFmtId="183" fontId="23" fillId="0" borderId="0" xfId="0" applyNumberFormat="1" applyFont="1" applyAlignment="1">
      <alignment horizontal="right" vertical="center" indent="1"/>
    </xf>
    <xf numFmtId="0" fontId="65" fillId="0" borderId="0" xfId="0" applyFont="1" applyAlignment="1">
      <alignment horizontal="center"/>
    </xf>
    <xf numFmtId="0" fontId="23" fillId="0" borderId="39" xfId="0" applyFont="1" applyBorder="1"/>
    <xf numFmtId="0" fontId="25" fillId="0" borderId="0" xfId="0" applyFont="1" applyAlignment="1">
      <alignment horizontal="center"/>
    </xf>
    <xf numFmtId="0" fontId="23" fillId="0" borderId="0" xfId="0" applyFont="1" applyAlignment="1">
      <alignment horizontal="right" indent="1"/>
    </xf>
    <xf numFmtId="0" fontId="8" fillId="0" borderId="0" xfId="0" applyFont="1"/>
    <xf numFmtId="38" fontId="23" fillId="5" borderId="71" xfId="0" applyNumberFormat="1" applyFont="1" applyFill="1" applyBorder="1" applyAlignment="1" applyProtection="1">
      <alignment horizontal="right" indent="2"/>
      <protection locked="0"/>
    </xf>
    <xf numFmtId="38" fontId="23" fillId="5" borderId="64" xfId="0" applyNumberFormat="1" applyFont="1" applyFill="1" applyBorder="1" applyAlignment="1" applyProtection="1">
      <alignment horizontal="right" indent="2"/>
      <protection locked="0"/>
    </xf>
    <xf numFmtId="0" fontId="72" fillId="0" borderId="0" xfId="0" applyFont="1" applyAlignment="1">
      <alignment horizontal="right"/>
    </xf>
    <xf numFmtId="0" fontId="73" fillId="0" borderId="0" xfId="0" applyFont="1" applyAlignment="1">
      <alignment horizontal="right" indent="1"/>
    </xf>
    <xf numFmtId="0" fontId="72" fillId="0" borderId="0" xfId="0" applyFont="1" applyAlignment="1">
      <alignment horizontal="center"/>
    </xf>
    <xf numFmtId="0" fontId="8" fillId="0" borderId="0" xfId="0" applyFont="1" applyAlignment="1">
      <alignment horizontal="left"/>
    </xf>
    <xf numFmtId="0" fontId="23" fillId="0" borderId="39" xfId="0" applyFont="1" applyBorder="1" applyAlignment="1">
      <alignment horizontal="center" wrapText="1"/>
    </xf>
    <xf numFmtId="42" fontId="23" fillId="0" borderId="0" xfId="8" applyNumberFormat="1" applyFont="1"/>
    <xf numFmtId="0" fontId="48" fillId="0" borderId="0" xfId="3" applyFont="1" applyAlignment="1">
      <alignment horizontal="center"/>
    </xf>
    <xf numFmtId="186" fontId="23" fillId="0" borderId="71" xfId="0" applyNumberFormat="1" applyFont="1" applyBorder="1" applyAlignment="1">
      <alignment horizontal="right" indent="1"/>
    </xf>
    <xf numFmtId="0" fontId="25" fillId="0" borderId="0" xfId="49" applyFont="1" applyAlignment="1">
      <alignment horizontal="center"/>
    </xf>
    <xf numFmtId="10" fontId="23" fillId="0" borderId="0" xfId="3" applyNumberFormat="1" applyFont="1"/>
    <xf numFmtId="0" fontId="23" fillId="0" borderId="0" xfId="49" applyFont="1"/>
    <xf numFmtId="0" fontId="25" fillId="0" borderId="0" xfId="3" applyFont="1" applyAlignment="1">
      <alignment horizontal="right"/>
    </xf>
    <xf numFmtId="41" fontId="25" fillId="0" borderId="0" xfId="0" applyNumberFormat="1" applyFont="1"/>
    <xf numFmtId="14" fontId="52" fillId="0" borderId="0" xfId="0" applyNumberFormat="1" applyFont="1" applyAlignment="1">
      <alignment horizontal="right"/>
    </xf>
    <xf numFmtId="0" fontId="23" fillId="0" borderId="0" xfId="49" applyFont="1" applyAlignment="1">
      <alignment horizontal="left"/>
    </xf>
    <xf numFmtId="0" fontId="23" fillId="0" borderId="0" xfId="49" applyFont="1" applyAlignment="1">
      <alignment horizontal="right"/>
    </xf>
    <xf numFmtId="38" fontId="23" fillId="5" borderId="0" xfId="0" applyNumberFormat="1" applyFont="1" applyFill="1" applyAlignment="1" applyProtection="1">
      <alignment horizontal="right" indent="2"/>
      <protection locked="0"/>
    </xf>
    <xf numFmtId="41" fontId="23" fillId="0" borderId="0" xfId="0" applyNumberFormat="1" applyFont="1"/>
    <xf numFmtId="0" fontId="23" fillId="0" borderId="0" xfId="3" applyFont="1" applyAlignment="1">
      <alignment horizontal="right"/>
    </xf>
    <xf numFmtId="10" fontId="23" fillId="5" borderId="0" xfId="3" applyNumberFormat="1" applyFont="1" applyFill="1" applyProtection="1">
      <protection locked="0"/>
    </xf>
    <xf numFmtId="0" fontId="23" fillId="0" borderId="0" xfId="0" applyFont="1" applyAlignment="1">
      <alignment horizontal="right" indent="2"/>
    </xf>
    <xf numFmtId="38" fontId="23" fillId="0" borderId="41" xfId="0" applyNumberFormat="1" applyFont="1" applyBorder="1" applyAlignment="1">
      <alignment horizontal="right"/>
    </xf>
    <xf numFmtId="41" fontId="38" fillId="0" borderId="0" xfId="0" applyNumberFormat="1" applyFont="1" applyAlignment="1">
      <alignment horizontal="right"/>
    </xf>
    <xf numFmtId="38" fontId="23" fillId="0" borderId="0" xfId="3" applyNumberFormat="1" applyFont="1"/>
    <xf numFmtId="0" fontId="35" fillId="0" borderId="0" xfId="3" applyFont="1"/>
    <xf numFmtId="38" fontId="23" fillId="0" borderId="0" xfId="3" applyNumberFormat="1" applyFont="1" applyAlignment="1">
      <alignment horizontal="right"/>
    </xf>
    <xf numFmtId="0" fontId="38" fillId="0" borderId="0" xfId="0" applyFont="1" applyAlignment="1">
      <alignment horizontal="right"/>
    </xf>
    <xf numFmtId="42" fontId="38" fillId="0" borderId="0" xfId="0" applyNumberFormat="1" applyFont="1"/>
    <xf numFmtId="187" fontId="52" fillId="5" borderId="0" xfId="0" applyNumberFormat="1" applyFont="1" applyFill="1" applyAlignment="1" applyProtection="1">
      <alignment horizontal="right"/>
      <protection locked="0"/>
    </xf>
    <xf numFmtId="42" fontId="50" fillId="0" borderId="0" xfId="0" applyNumberFormat="1" applyFont="1"/>
    <xf numFmtId="41" fontId="23" fillId="0" borderId="0" xfId="0" applyNumberFormat="1" applyFont="1" applyAlignment="1">
      <alignment horizontal="right"/>
    </xf>
    <xf numFmtId="0" fontId="25" fillId="0" borderId="0" xfId="0" applyFont="1" applyAlignment="1">
      <alignment horizontal="left" indent="2"/>
    </xf>
    <xf numFmtId="0" fontId="50" fillId="0" borderId="0" xfId="0" applyFont="1" applyAlignment="1">
      <alignment horizontal="right"/>
    </xf>
    <xf numFmtId="37" fontId="23" fillId="0" borderId="0" xfId="3" applyNumberFormat="1" applyFont="1"/>
    <xf numFmtId="0" fontId="69" fillId="0" borderId="41" xfId="0" applyFont="1" applyBorder="1"/>
    <xf numFmtId="0" fontId="69" fillId="0" borderId="0" xfId="0" applyFont="1"/>
    <xf numFmtId="0" fontId="52" fillId="0" borderId="0" xfId="3" applyFont="1" applyAlignment="1">
      <alignment horizontal="center" vertical="center"/>
    </xf>
    <xf numFmtId="0" fontId="25" fillId="0" borderId="0" xfId="3" applyFont="1" applyAlignment="1">
      <alignment vertical="center"/>
    </xf>
    <xf numFmtId="0" fontId="23" fillId="15" borderId="42" xfId="0" applyFont="1" applyFill="1" applyBorder="1"/>
    <xf numFmtId="0" fontId="25" fillId="9" borderId="0" xfId="0" applyFont="1" applyFill="1" applyAlignment="1" applyProtection="1">
      <alignment horizontal="left" vertical="top"/>
    </xf>
    <xf numFmtId="38" fontId="23" fillId="0" borderId="71" xfId="0" applyNumberFormat="1" applyFont="1" applyBorder="1" applyAlignment="1" applyProtection="1">
      <alignment horizontal="right" indent="2"/>
    </xf>
    <xf numFmtId="10" fontId="23" fillId="0" borderId="41" xfId="9" applyNumberFormat="1" applyFont="1" applyFill="1" applyBorder="1" applyProtection="1"/>
    <xf numFmtId="172" fontId="23" fillId="5" borderId="80" xfId="0" applyNumberFormat="1" applyFont="1" applyFill="1" applyBorder="1" applyAlignment="1" applyProtection="1">
      <alignment horizontal="right"/>
      <protection locked="0"/>
    </xf>
    <xf numFmtId="0" fontId="30" fillId="9" borderId="0" xfId="0" applyFont="1" applyFill="1" applyBorder="1" applyAlignment="1" applyProtection="1">
      <alignment vertical="center"/>
    </xf>
    <xf numFmtId="0" fontId="76" fillId="9" borderId="0" xfId="0" applyFont="1" applyFill="1" applyBorder="1" applyAlignment="1" applyProtection="1">
      <alignment vertical="center"/>
    </xf>
    <xf numFmtId="0" fontId="23" fillId="0" borderId="0" xfId="3" applyFont="1" applyFill="1"/>
    <xf numFmtId="188" fontId="23" fillId="0" borderId="0" xfId="3" applyNumberFormat="1" applyFont="1" applyAlignment="1">
      <alignment horizontal="center"/>
    </xf>
    <xf numFmtId="0" fontId="23" fillId="0" borderId="0" xfId="0" applyFont="1" applyAlignment="1">
      <alignment horizontal="left"/>
    </xf>
    <xf numFmtId="0" fontId="23" fillId="0" borderId="0" xfId="0" applyFont="1"/>
    <xf numFmtId="0" fontId="23" fillId="0" borderId="30" xfId="0" applyFont="1" applyFill="1" applyBorder="1" applyAlignment="1" applyProtection="1">
      <alignment horizontal="right"/>
    </xf>
    <xf numFmtId="7" fontId="23" fillId="5" borderId="17" xfId="8" applyNumberFormat="1" applyFont="1" applyFill="1" applyBorder="1" applyAlignment="1" applyProtection="1">
      <alignment horizontal="right"/>
      <protection locked="0"/>
    </xf>
    <xf numFmtId="0" fontId="38" fillId="0" borderId="0" xfId="3" applyFont="1"/>
    <xf numFmtId="0" fontId="38" fillId="0" borderId="0" xfId="0" applyFont="1"/>
    <xf numFmtId="0" fontId="40" fillId="9" borderId="0" xfId="0" applyFont="1" applyFill="1" applyBorder="1" applyProtection="1"/>
    <xf numFmtId="169" fontId="30" fillId="9" borderId="46" xfId="1" applyNumberFormat="1" applyFont="1" applyFill="1" applyBorder="1" applyAlignment="1" applyProtection="1">
      <alignment horizontal="right"/>
    </xf>
    <xf numFmtId="164" fontId="25" fillId="9" borderId="0" xfId="0" applyNumberFormat="1" applyFont="1" applyFill="1" applyBorder="1" applyAlignment="1" applyProtection="1">
      <alignment horizontal="left"/>
    </xf>
    <xf numFmtId="0" fontId="25" fillId="0" borderId="17" xfId="0" applyFont="1" applyFill="1" applyBorder="1" applyAlignment="1" applyProtection="1">
      <alignment horizontal="right"/>
    </xf>
    <xf numFmtId="0" fontId="23" fillId="0" borderId="17" xfId="0" applyFont="1" applyBorder="1" applyProtection="1"/>
    <xf numFmtId="0" fontId="23" fillId="9" borderId="0" xfId="0" applyFont="1" applyFill="1" applyBorder="1" applyAlignment="1" applyProtection="1">
      <alignment wrapText="1"/>
    </xf>
    <xf numFmtId="0" fontId="25" fillId="0" borderId="17" xfId="0" applyFont="1" applyBorder="1" applyAlignment="1" applyProtection="1">
      <alignment horizontal="center"/>
    </xf>
    <xf numFmtId="167" fontId="23" fillId="9" borderId="17" xfId="8" applyNumberFormat="1" applyFont="1" applyFill="1" applyBorder="1" applyAlignment="1" applyProtection="1">
      <alignment horizontal="right"/>
    </xf>
    <xf numFmtId="0" fontId="23" fillId="9" borderId="17" xfId="0" applyFont="1" applyFill="1" applyBorder="1" applyProtection="1"/>
    <xf numFmtId="3" fontId="23" fillId="0" borderId="17" xfId="0" applyNumberFormat="1" applyFont="1" applyFill="1" applyBorder="1" applyAlignment="1" applyProtection="1">
      <alignment horizontal="center"/>
    </xf>
    <xf numFmtId="167" fontId="23" fillId="0" borderId="17" xfId="8" applyNumberFormat="1" applyFont="1" applyFill="1" applyBorder="1" applyAlignment="1" applyProtection="1">
      <alignment horizontal="center"/>
    </xf>
    <xf numFmtId="167" fontId="23" fillId="9" borderId="0" xfId="0" applyNumberFormat="1" applyFont="1" applyFill="1" applyBorder="1" applyProtection="1"/>
    <xf numFmtId="0" fontId="23" fillId="9" borderId="0" xfId="0" applyFont="1" applyFill="1" applyBorder="1" applyAlignment="1" applyProtection="1">
      <alignment horizontal="center"/>
    </xf>
    <xf numFmtId="171" fontId="23" fillId="9" borderId="0" xfId="0" applyNumberFormat="1" applyFont="1" applyFill="1" applyProtection="1"/>
    <xf numFmtId="167" fontId="23" fillId="9" borderId="0" xfId="8" applyNumberFormat="1" applyFont="1" applyFill="1" applyBorder="1" applyProtection="1"/>
    <xf numFmtId="0" fontId="50" fillId="9" borderId="0" xfId="4" applyFont="1" applyFill="1" applyBorder="1" applyAlignment="1" applyProtection="1">
      <alignment horizontal="center"/>
    </xf>
    <xf numFmtId="3" fontId="23" fillId="0" borderId="0" xfId="11" applyFont="1" applyFill="1" applyAlignment="1" applyProtection="1">
      <alignment horizontal="center"/>
    </xf>
    <xf numFmtId="3" fontId="23" fillId="0" borderId="0" xfId="11" applyFont="1" applyFill="1" applyAlignment="1" applyProtection="1">
      <alignment horizontal="left"/>
    </xf>
    <xf numFmtId="3" fontId="23" fillId="0" borderId="0" xfId="11" applyFont="1" applyFill="1" applyAlignment="1" applyProtection="1">
      <alignment horizontal="left" vertical="center"/>
    </xf>
    <xf numFmtId="3" fontId="23" fillId="9" borderId="0" xfId="11" applyFont="1" applyFill="1" applyAlignment="1" applyProtection="1">
      <alignment horizontal="left" vertical="center"/>
    </xf>
    <xf numFmtId="0" fontId="5" fillId="9" borderId="0" xfId="0" applyFont="1" applyFill="1" applyBorder="1" applyAlignment="1" applyProtection="1">
      <alignment horizontal="left"/>
    </xf>
    <xf numFmtId="0" fontId="23" fillId="9" borderId="0" xfId="0" applyFont="1" applyFill="1" applyBorder="1" applyAlignment="1" applyProtection="1">
      <alignment vertical="center"/>
    </xf>
    <xf numFmtId="0" fontId="23" fillId="9" borderId="0" xfId="0" applyFont="1" applyFill="1" applyBorder="1" applyAlignment="1" applyProtection="1">
      <alignment vertical="center" wrapText="1"/>
    </xf>
    <xf numFmtId="3" fontId="25" fillId="9" borderId="0" xfId="11" applyFont="1" applyFill="1" applyAlignment="1" applyProtection="1">
      <alignment horizontal="left" vertical="center"/>
    </xf>
    <xf numFmtId="3" fontId="61" fillId="9" borderId="0" xfId="11" applyFont="1" applyFill="1" applyAlignment="1" applyProtection="1">
      <alignment horizontal="left" vertical="center"/>
    </xf>
    <xf numFmtId="3" fontId="35" fillId="9" borderId="0" xfId="11" applyFont="1" applyFill="1" applyAlignment="1" applyProtection="1">
      <alignment horizontal="left" vertical="center"/>
    </xf>
    <xf numFmtId="3" fontId="35" fillId="0" borderId="0" xfId="11" applyFont="1" applyFill="1" applyAlignment="1" applyProtection="1">
      <alignment horizontal="left" vertical="center"/>
    </xf>
    <xf numFmtId="3" fontId="35" fillId="0" borderId="0" xfId="11" applyFont="1" applyFill="1" applyAlignment="1" applyProtection="1">
      <alignment horizontal="left" vertical="center" wrapText="1"/>
    </xf>
    <xf numFmtId="3" fontId="61" fillId="0" borderId="0" xfId="11" applyFont="1" applyFill="1" applyAlignment="1" applyProtection="1">
      <alignment horizontal="left" vertical="center"/>
    </xf>
    <xf numFmtId="3" fontId="61" fillId="0" borderId="0" xfId="11" applyFont="1" applyFill="1" applyAlignment="1" applyProtection="1">
      <alignment horizontal="left" vertical="center" wrapText="1"/>
    </xf>
    <xf numFmtId="3" fontId="23" fillId="0" borderId="0" xfId="11" applyFont="1" applyFill="1" applyBorder="1" applyAlignment="1" applyProtection="1">
      <alignment horizontal="left" vertical="center"/>
    </xf>
    <xf numFmtId="3" fontId="23" fillId="0" borderId="0" xfId="11" applyFont="1" applyFill="1" applyBorder="1" applyAlignment="1" applyProtection="1">
      <alignment horizontal="left"/>
    </xf>
    <xf numFmtId="0" fontId="48" fillId="9" borderId="0" xfId="0" applyFont="1" applyFill="1" applyProtection="1"/>
    <xf numFmtId="167" fontId="27" fillId="5" borderId="21" xfId="0" applyNumberFormat="1" applyFont="1" applyFill="1" applyBorder="1" applyAlignment="1" applyProtection="1">
      <alignment horizontal="right"/>
      <protection locked="0"/>
    </xf>
    <xf numFmtId="169" fontId="30" fillId="0" borderId="76" xfId="1" applyNumberFormat="1" applyFont="1" applyFill="1" applyBorder="1" applyProtection="1"/>
    <xf numFmtId="0" fontId="48" fillId="0" borderId="0" xfId="0" applyFont="1" applyFill="1" applyAlignment="1" applyProtection="1">
      <alignment horizontal="left" wrapText="1"/>
    </xf>
    <xf numFmtId="0" fontId="23" fillId="0" borderId="0" xfId="0" applyFont="1" applyFill="1" applyAlignment="1" applyProtection="1">
      <alignment horizontal="left" wrapText="1"/>
    </xf>
    <xf numFmtId="0" fontId="77" fillId="0" borderId="0" xfId="3" applyFont="1" applyAlignment="1"/>
    <xf numFmtId="0" fontId="77" fillId="0" borderId="0" xfId="3" applyFont="1"/>
    <xf numFmtId="0" fontId="77" fillId="0" borderId="0" xfId="0" applyFont="1"/>
    <xf numFmtId="10" fontId="23" fillId="0" borderId="41" xfId="9" applyNumberFormat="1" applyFont="1" applyBorder="1" applyAlignment="1" applyProtection="1">
      <alignment horizontal="right"/>
    </xf>
    <xf numFmtId="10" fontId="23" fillId="0" borderId="41" xfId="9" applyNumberFormat="1" applyFont="1" applyFill="1" applyBorder="1" applyAlignment="1" applyProtection="1">
      <alignment horizontal="right"/>
      <protection locked="0"/>
    </xf>
    <xf numFmtId="10" fontId="23" fillId="0" borderId="41" xfId="9" applyNumberFormat="1" applyFont="1" applyFill="1" applyBorder="1" applyAlignment="1" applyProtection="1">
      <alignment horizontal="right"/>
    </xf>
    <xf numFmtId="0" fontId="78" fillId="0" borderId="0" xfId="0" applyFont="1" applyAlignment="1">
      <alignment vertical="center"/>
    </xf>
    <xf numFmtId="0" fontId="48" fillId="0" borderId="0" xfId="0" applyFont="1" applyAlignment="1">
      <alignment horizontal="center"/>
    </xf>
    <xf numFmtId="0" fontId="23" fillId="0" borderId="0" xfId="0" applyFont="1" applyAlignment="1"/>
    <xf numFmtId="0" fontId="23" fillId="0" borderId="0" xfId="0" applyFont="1"/>
    <xf numFmtId="0" fontId="38" fillId="9" borderId="0" xfId="0" applyFont="1" applyFill="1"/>
    <xf numFmtId="37" fontId="59" fillId="9" borderId="0" xfId="0" applyNumberFormat="1" applyFont="1" applyFill="1" applyAlignment="1" applyProtection="1"/>
    <xf numFmtId="0" fontId="38" fillId="9" borderId="0" xfId="0" applyFont="1" applyFill="1" applyBorder="1"/>
    <xf numFmtId="0" fontId="38" fillId="0" borderId="0" xfId="0" applyFont="1" applyFill="1" applyBorder="1" applyAlignment="1">
      <alignment horizontal="right"/>
    </xf>
    <xf numFmtId="0" fontId="23" fillId="0" borderId="0" xfId="0" applyFont="1" applyFill="1" applyBorder="1"/>
    <xf numFmtId="10" fontId="24" fillId="9" borderId="0" xfId="0" applyNumberFormat="1" applyFont="1" applyFill="1" applyProtection="1"/>
    <xf numFmtId="0" fontId="36" fillId="0" borderId="0" xfId="0" applyFont="1" applyFill="1" applyBorder="1"/>
    <xf numFmtId="5" fontId="23" fillId="0" borderId="0" xfId="0" applyNumberFormat="1" applyFont="1" applyFill="1"/>
    <xf numFmtId="0" fontId="23" fillId="0" borderId="0" xfId="0" applyFont="1" applyFill="1" applyProtection="1"/>
    <xf numFmtId="168" fontId="23" fillId="5" borderId="80" xfId="0" applyNumberFormat="1" applyFont="1" applyFill="1" applyBorder="1" applyAlignment="1" applyProtection="1">
      <alignment horizontal="right"/>
      <protection locked="0"/>
    </xf>
    <xf numFmtId="0" fontId="30" fillId="9" borderId="0" xfId="0" applyFont="1" applyFill="1" applyBorder="1" applyAlignment="1" applyProtection="1">
      <alignment horizontal="right"/>
    </xf>
    <xf numFmtId="0" fontId="23" fillId="5" borderId="0" xfId="0" applyFont="1" applyFill="1" applyBorder="1" applyAlignment="1" applyProtection="1">
      <alignment horizontal="center"/>
      <protection locked="0"/>
    </xf>
    <xf numFmtId="0" fontId="23" fillId="9" borderId="0" xfId="0" applyFont="1" applyFill="1" applyBorder="1" applyAlignment="1" applyProtection="1">
      <alignment horizontal="right"/>
    </xf>
    <xf numFmtId="0" fontId="38" fillId="9" borderId="0" xfId="0" applyFont="1" applyFill="1" applyBorder="1" applyProtection="1"/>
    <xf numFmtId="164" fontId="25" fillId="0" borderId="0" xfId="0" applyNumberFormat="1" applyFont="1" applyFill="1" applyBorder="1" applyAlignment="1" applyProtection="1">
      <alignment horizontal="left"/>
    </xf>
    <xf numFmtId="0" fontId="25" fillId="9" borderId="0" xfId="0" applyFont="1" applyFill="1" applyBorder="1" applyAlignment="1" applyProtection="1">
      <alignment horizontal="center"/>
    </xf>
    <xf numFmtId="164" fontId="25" fillId="9" borderId="0" xfId="0" applyNumberFormat="1" applyFont="1" applyFill="1" applyBorder="1" applyAlignment="1" applyProtection="1">
      <alignment horizontal="center"/>
    </xf>
    <xf numFmtId="0" fontId="23" fillId="0" borderId="17" xfId="0" applyFont="1" applyFill="1" applyBorder="1" applyAlignment="1" applyProtection="1">
      <alignment horizontal="center" wrapText="1"/>
    </xf>
    <xf numFmtId="5" fontId="23" fillId="0" borderId="17" xfId="0" applyNumberFormat="1" applyFont="1" applyFill="1" applyBorder="1" applyAlignment="1" applyProtection="1">
      <alignment horizontal="right"/>
    </xf>
    <xf numFmtId="7" fontId="23" fillId="0" borderId="17" xfId="0" applyNumberFormat="1" applyFont="1" applyFill="1" applyBorder="1" applyAlignment="1" applyProtection="1">
      <alignment horizontal="center"/>
    </xf>
    <xf numFmtId="5" fontId="23" fillId="0" borderId="17" xfId="0" applyNumberFormat="1" applyFont="1" applyFill="1" applyBorder="1" applyAlignment="1" applyProtection="1">
      <alignment horizontal="center"/>
    </xf>
    <xf numFmtId="7" fontId="23" fillId="0" borderId="17" xfId="0" applyNumberFormat="1" applyFont="1" applyFill="1" applyBorder="1" applyAlignment="1" applyProtection="1">
      <alignment horizontal="left"/>
    </xf>
    <xf numFmtId="0" fontId="23" fillId="0" borderId="17" xfId="0" applyFont="1" applyFill="1" applyBorder="1" applyAlignment="1" applyProtection="1">
      <alignment horizontal="left"/>
    </xf>
    <xf numFmtId="0" fontId="25" fillId="9" borderId="0" xfId="0" applyFont="1" applyFill="1" applyBorder="1" applyAlignment="1" applyProtection="1">
      <alignment horizontal="left"/>
    </xf>
    <xf numFmtId="167" fontId="25" fillId="9" borderId="0" xfId="0" applyNumberFormat="1" applyFont="1" applyFill="1" applyBorder="1" applyProtection="1"/>
    <xf numFmtId="3" fontId="25" fillId="9" borderId="0" xfId="0" applyNumberFormat="1" applyFont="1" applyFill="1" applyBorder="1" applyAlignment="1" applyProtection="1">
      <alignment horizontal="center"/>
    </xf>
    <xf numFmtId="0" fontId="34" fillId="9" borderId="0" xfId="0" applyFont="1" applyFill="1" applyBorder="1" applyAlignment="1" applyProtection="1">
      <alignment horizontal="left" indent="1"/>
    </xf>
    <xf numFmtId="0" fontId="23" fillId="0" borderId="17" xfId="0" applyFont="1" applyFill="1" applyBorder="1" applyAlignment="1" applyProtection="1">
      <alignment horizontal="right" indent="2"/>
    </xf>
    <xf numFmtId="9" fontId="23" fillId="0" borderId="17" xfId="9" applyFont="1" applyFill="1" applyBorder="1" applyAlignment="1" applyProtection="1">
      <alignment horizontal="right" indent="2"/>
    </xf>
    <xf numFmtId="3" fontId="23" fillId="9" borderId="17" xfId="0" applyNumberFormat="1" applyFont="1" applyFill="1" applyBorder="1" applyAlignment="1" applyProtection="1">
      <alignment horizontal="right" indent="2"/>
    </xf>
    <xf numFmtId="0" fontId="25" fillId="0" borderId="17" xfId="0" applyFont="1" applyFill="1" applyBorder="1" applyAlignment="1" applyProtection="1">
      <alignment horizontal="right" indent="2"/>
    </xf>
    <xf numFmtId="164" fontId="25" fillId="0" borderId="17" xfId="0" applyNumberFormat="1" applyFont="1" applyFill="1" applyBorder="1" applyAlignment="1" applyProtection="1">
      <alignment horizontal="right" indent="2"/>
    </xf>
    <xf numFmtId="3" fontId="23" fillId="5" borderId="17" xfId="0" applyNumberFormat="1" applyFont="1" applyFill="1" applyBorder="1" applyAlignment="1" applyProtection="1">
      <alignment horizontal="right" indent="2"/>
      <protection locked="0"/>
    </xf>
    <xf numFmtId="0" fontId="25" fillId="0" borderId="19" xfId="0" applyFont="1" applyFill="1" applyBorder="1" applyAlignment="1" applyProtection="1">
      <alignment horizontal="right" indent="2"/>
    </xf>
    <xf numFmtId="0" fontId="23" fillId="0" borderId="19" xfId="0" applyFont="1" applyFill="1" applyBorder="1" applyAlignment="1" applyProtection="1">
      <alignment horizontal="right" indent="2"/>
    </xf>
    <xf numFmtId="0" fontId="38" fillId="0" borderId="19" xfId="0" applyFont="1" applyFill="1" applyBorder="1" applyAlignment="1" applyProtection="1">
      <alignment horizontal="right" wrapText="1" indent="2"/>
    </xf>
    <xf numFmtId="0" fontId="23" fillId="0" borderId="17" xfId="0" applyFont="1" applyFill="1" applyBorder="1" applyAlignment="1" applyProtection="1">
      <alignment horizontal="right" indent="1"/>
    </xf>
    <xf numFmtId="5" fontId="23" fillId="0" borderId="17" xfId="8" applyNumberFormat="1" applyFont="1" applyFill="1" applyBorder="1" applyAlignment="1" applyProtection="1">
      <alignment horizontal="right" indent="1"/>
    </xf>
    <xf numFmtId="0" fontId="25" fillId="0" borderId="80" xfId="0" applyFont="1" applyFill="1" applyBorder="1" applyAlignment="1" applyProtection="1">
      <alignment horizontal="center"/>
    </xf>
    <xf numFmtId="3" fontId="25" fillId="0" borderId="80" xfId="0" applyNumberFormat="1" applyFont="1" applyFill="1" applyBorder="1" applyAlignment="1" applyProtection="1">
      <alignment horizontal="center"/>
    </xf>
    <xf numFmtId="3" fontId="25" fillId="9" borderId="80" xfId="0" applyNumberFormat="1" applyFont="1" applyFill="1" applyBorder="1" applyAlignment="1" applyProtection="1">
      <alignment horizontal="center"/>
    </xf>
    <xf numFmtId="5" fontId="23" fillId="5" borderId="17" xfId="8" applyNumberFormat="1" applyFont="1" applyFill="1" applyBorder="1" applyAlignment="1" applyProtection="1">
      <alignment horizontal="right" indent="1"/>
      <protection locked="0"/>
    </xf>
    <xf numFmtId="5" fontId="23" fillId="0" borderId="17" xfId="8" applyNumberFormat="1" applyFont="1" applyFill="1" applyBorder="1" applyAlignment="1" applyProtection="1">
      <alignment horizontal="right"/>
    </xf>
    <xf numFmtId="3" fontId="23" fillId="0" borderId="17" xfId="0" applyNumberFormat="1" applyFont="1" applyFill="1" applyBorder="1" applyAlignment="1" applyProtection="1">
      <alignment horizontal="right" indent="1"/>
    </xf>
    <xf numFmtId="5" fontId="23" fillId="9" borderId="17" xfId="0" applyNumberFormat="1" applyFont="1" applyFill="1" applyBorder="1" applyAlignment="1" applyProtection="1">
      <alignment horizontal="right" indent="1"/>
    </xf>
    <xf numFmtId="0" fontId="23" fillId="9" borderId="17" xfId="0" applyFont="1" applyFill="1" applyBorder="1" applyAlignment="1" applyProtection="1">
      <alignment horizontal="center"/>
    </xf>
    <xf numFmtId="5" fontId="23" fillId="0" borderId="17" xfId="0" applyNumberFormat="1" applyFont="1" applyFill="1" applyBorder="1" applyAlignment="1" applyProtection="1">
      <alignment horizontal="right" indent="1"/>
    </xf>
    <xf numFmtId="9" fontId="23" fillId="0" borderId="17" xfId="0" applyNumberFormat="1" applyFont="1" applyFill="1" applyBorder="1" applyAlignment="1" applyProtection="1">
      <alignment horizontal="right" indent="3"/>
    </xf>
    <xf numFmtId="9" fontId="23" fillId="5" borderId="17" xfId="0" applyNumberFormat="1" applyFont="1" applyFill="1" applyBorder="1" applyAlignment="1" applyProtection="1">
      <alignment horizontal="right" indent="3"/>
      <protection locked="0"/>
    </xf>
    <xf numFmtId="0" fontId="23" fillId="0" borderId="17" xfId="0" applyFont="1" applyFill="1" applyBorder="1" applyAlignment="1" applyProtection="1">
      <alignment horizontal="right" indent="3"/>
    </xf>
    <xf numFmtId="0" fontId="23" fillId="9" borderId="17" xfId="0" applyFont="1" applyFill="1" applyBorder="1" applyAlignment="1" applyProtection="1">
      <alignment horizontal="right" indent="3"/>
    </xf>
    <xf numFmtId="3" fontId="23" fillId="5" borderId="17" xfId="0" applyNumberFormat="1" applyFont="1" applyFill="1" applyBorder="1" applyAlignment="1" applyProtection="1">
      <alignment horizontal="right" indent="1"/>
      <protection locked="0"/>
    </xf>
    <xf numFmtId="0" fontId="23" fillId="0" borderId="19" xfId="0" applyFont="1" applyFill="1" applyBorder="1" applyAlignment="1" applyProtection="1">
      <alignment horizontal="right" indent="1"/>
    </xf>
    <xf numFmtId="3" fontId="25" fillId="0" borderId="17" xfId="0" applyNumberFormat="1" applyFont="1" applyFill="1" applyBorder="1" applyAlignment="1" applyProtection="1">
      <alignment horizontal="right" indent="1"/>
    </xf>
    <xf numFmtId="9" fontId="25" fillId="0" borderId="80" xfId="9" applyNumberFormat="1" applyFont="1" applyFill="1" applyBorder="1" applyAlignment="1" applyProtection="1">
      <alignment horizontal="center"/>
    </xf>
    <xf numFmtId="9" fontId="25" fillId="9" borderId="80" xfId="9" applyNumberFormat="1" applyFont="1" applyFill="1" applyBorder="1" applyAlignment="1" applyProtection="1">
      <alignment horizontal="center"/>
    </xf>
    <xf numFmtId="0" fontId="23" fillId="9" borderId="17" xfId="0" applyFont="1" applyFill="1" applyBorder="1" applyAlignment="1" applyProtection="1">
      <alignment horizontal="right" indent="1"/>
    </xf>
    <xf numFmtId="167" fontId="23" fillId="0" borderId="17" xfId="8" applyNumberFormat="1" applyFont="1" applyFill="1" applyBorder="1" applyAlignment="1" applyProtection="1">
      <alignment horizontal="right" indent="1"/>
    </xf>
    <xf numFmtId="0" fontId="23" fillId="0" borderId="91" xfId="0" applyFont="1" applyFill="1" applyBorder="1" applyAlignment="1" applyProtection="1">
      <alignment horizontal="right"/>
    </xf>
    <xf numFmtId="0" fontId="25" fillId="0" borderId="17" xfId="0" applyFont="1" applyFill="1" applyBorder="1" applyProtection="1"/>
    <xf numFmtId="0" fontId="25" fillId="9" borderId="17" xfId="0" applyFont="1" applyFill="1" applyBorder="1" applyAlignment="1" applyProtection="1">
      <alignment horizontal="right"/>
    </xf>
    <xf numFmtId="0" fontId="25" fillId="9" borderId="17" xfId="0" applyFont="1" applyFill="1" applyBorder="1" applyProtection="1"/>
    <xf numFmtId="0" fontId="25" fillId="0" borderId="17" xfId="0" applyFont="1" applyFill="1" applyBorder="1" applyAlignment="1" applyProtection="1">
      <alignment horizontal="center" wrapText="1"/>
    </xf>
    <xf numFmtId="0" fontId="25" fillId="0" borderId="17" xfId="4" applyFont="1" applyFill="1" applyBorder="1" applyAlignment="1" applyProtection="1">
      <alignment horizontal="center" wrapText="1"/>
    </xf>
    <xf numFmtId="0" fontId="25" fillId="0" borderId="17" xfId="0" applyFont="1" applyBorder="1" applyAlignment="1" applyProtection="1">
      <alignment horizontal="center" wrapText="1"/>
    </xf>
    <xf numFmtId="167" fontId="25" fillId="9" borderId="17" xfId="8" applyNumberFormat="1" applyFont="1" applyFill="1" applyBorder="1" applyProtection="1"/>
    <xf numFmtId="0" fontId="25" fillId="9" borderId="17" xfId="0" applyFont="1" applyFill="1" applyBorder="1" applyAlignment="1" applyProtection="1">
      <alignment horizontal="right" vertical="center"/>
    </xf>
    <xf numFmtId="167" fontId="25" fillId="9" borderId="17" xfId="8" applyNumberFormat="1" applyFont="1" applyFill="1" applyBorder="1" applyAlignment="1" applyProtection="1">
      <alignment vertical="center"/>
    </xf>
    <xf numFmtId="0" fontId="34" fillId="9" borderId="76" xfId="0" applyFont="1" applyFill="1" applyBorder="1" applyAlignment="1" applyProtection="1">
      <alignment horizontal="left"/>
    </xf>
    <xf numFmtId="10" fontId="34" fillId="9" borderId="19" xfId="9" applyNumberFormat="1" applyFont="1" applyFill="1" applyBorder="1" applyAlignment="1" applyProtection="1">
      <alignment horizontal="center"/>
    </xf>
    <xf numFmtId="9" fontId="25" fillId="9" borderId="80" xfId="9" applyFont="1" applyFill="1" applyBorder="1" applyAlignment="1" applyProtection="1">
      <alignment horizontal="right" indent="1"/>
    </xf>
    <xf numFmtId="9" fontId="25" fillId="9" borderId="0" xfId="9" applyFont="1" applyFill="1" applyBorder="1" applyAlignment="1" applyProtection="1">
      <alignment horizontal="right" indent="1"/>
    </xf>
    <xf numFmtId="168" fontId="23" fillId="9" borderId="0" xfId="0" applyNumberFormat="1" applyFont="1" applyFill="1" applyAlignment="1" applyProtection="1">
      <alignment horizontal="left" indent="1"/>
    </xf>
    <xf numFmtId="0" fontId="37" fillId="9" borderId="0" xfId="0" applyFont="1" applyFill="1" applyBorder="1" applyAlignment="1" applyProtection="1">
      <alignment horizontal="left" vertical="center" indent="1"/>
    </xf>
    <xf numFmtId="37" fontId="30" fillId="0" borderId="17" xfId="0" applyNumberFormat="1" applyFont="1" applyFill="1" applyBorder="1" applyAlignment="1" applyProtection="1">
      <alignment horizontal="right" indent="2"/>
    </xf>
    <xf numFmtId="0" fontId="30" fillId="0" borderId="17" xfId="0" applyFont="1" applyFill="1" applyBorder="1" applyAlignment="1" applyProtection="1">
      <alignment horizontal="right" indent="1"/>
    </xf>
    <xf numFmtId="3" fontId="25" fillId="9" borderId="80" xfId="11" quotePrefix="1" applyFont="1" applyFill="1" applyBorder="1" applyAlignment="1" applyProtection="1">
      <alignment horizontal="center" wrapText="1"/>
    </xf>
    <xf numFmtId="3" fontId="25" fillId="9" borderId="80" xfId="11" applyFont="1" applyFill="1" applyBorder="1" applyAlignment="1" applyProtection="1">
      <alignment horizontal="center" wrapText="1"/>
    </xf>
    <xf numFmtId="3" fontId="70" fillId="0" borderId="80" xfId="11" applyFont="1" applyFill="1" applyBorder="1" applyAlignment="1" applyProtection="1">
      <alignment horizontal="center"/>
    </xf>
    <xf numFmtId="3" fontId="23" fillId="0" borderId="80" xfId="11" applyFont="1" applyFill="1" applyBorder="1" applyAlignment="1" applyProtection="1">
      <alignment horizontal="left"/>
    </xf>
    <xf numFmtId="6" fontId="23" fillId="5" borderId="80" xfId="21" applyNumberFormat="1" applyFont="1" applyFill="1" applyBorder="1" applyAlignment="1" applyProtection="1">
      <protection locked="0"/>
    </xf>
    <xf numFmtId="172" fontId="23" fillId="0" borderId="80" xfId="18" applyFont="1" applyFill="1" applyBorder="1" applyAlignment="1" applyProtection="1">
      <alignment horizontal="left" vertical="top" wrapText="1" indent="1"/>
    </xf>
    <xf numFmtId="3" fontId="25" fillId="3" borderId="80" xfId="11" applyFont="1" applyFill="1" applyBorder="1" applyAlignment="1" applyProtection="1">
      <alignment horizontal="left" vertical="center"/>
    </xf>
    <xf numFmtId="6" fontId="25" fillId="3" borderId="80" xfId="11" applyNumberFormat="1" applyFont="1" applyFill="1" applyBorder="1" applyAlignment="1" applyProtection="1">
      <alignment horizontal="right" vertical="center"/>
    </xf>
    <xf numFmtId="0" fontId="5" fillId="9" borderId="80" xfId="0" applyFont="1" applyFill="1" applyBorder="1" applyAlignment="1" applyProtection="1">
      <alignment horizontal="left"/>
    </xf>
    <xf numFmtId="0" fontId="5" fillId="3" borderId="80" xfId="0" applyFont="1" applyFill="1" applyBorder="1" applyAlignment="1" applyProtection="1">
      <alignment horizontal="left"/>
    </xf>
    <xf numFmtId="6" fontId="49" fillId="3" borderId="80" xfId="0" applyNumberFormat="1" applyFont="1" applyFill="1" applyBorder="1" applyAlignment="1" applyProtection="1">
      <alignment horizontal="right"/>
    </xf>
    <xf numFmtId="6" fontId="23" fillId="0" borderId="80" xfId="21" applyNumberFormat="1" applyFont="1" applyFill="1" applyBorder="1" applyAlignment="1" applyProtection="1"/>
    <xf numFmtId="6" fontId="25" fillId="0" borderId="80" xfId="21" applyNumberFormat="1" applyFont="1" applyFill="1" applyBorder="1" applyAlignment="1" applyProtection="1"/>
    <xf numFmtId="6" fontId="25" fillId="3" borderId="80" xfId="21" applyNumberFormat="1" applyFont="1" applyFill="1" applyBorder="1" applyAlignment="1" applyProtection="1"/>
    <xf numFmtId="0" fontId="23" fillId="5" borderId="80" xfId="0" applyFont="1" applyFill="1" applyBorder="1" applyAlignment="1" applyProtection="1">
      <alignment vertical="top" wrapText="1"/>
      <protection locked="0"/>
    </xf>
    <xf numFmtId="0" fontId="37" fillId="9" borderId="80" xfId="0" applyFont="1" applyFill="1" applyBorder="1" applyAlignment="1" applyProtection="1">
      <alignment horizontal="right" vertical="center" indent="2"/>
    </xf>
    <xf numFmtId="6" fontId="23" fillId="0" borderId="80" xfId="21" applyNumberFormat="1" applyFont="1" applyFill="1" applyBorder="1" applyAlignment="1" applyProtection="1">
      <alignment horizontal="right" indent="2"/>
    </xf>
    <xf numFmtId="6" fontId="49" fillId="3" borderId="80" xfId="0" applyNumberFormat="1" applyFont="1" applyFill="1" applyBorder="1" applyAlignment="1" applyProtection="1">
      <alignment horizontal="right" indent="2"/>
    </xf>
    <xf numFmtId="0" fontId="5" fillId="9" borderId="80" xfId="0" applyFont="1" applyFill="1" applyBorder="1" applyAlignment="1" applyProtection="1">
      <alignment horizontal="right" indent="2"/>
    </xf>
    <xf numFmtId="6" fontId="25" fillId="0" borderId="80" xfId="21" applyNumberFormat="1" applyFont="1" applyFill="1" applyBorder="1" applyAlignment="1" applyProtection="1">
      <alignment horizontal="right" indent="2"/>
    </xf>
    <xf numFmtId="6" fontId="23" fillId="0" borderId="80" xfId="21" applyNumberFormat="1" applyFont="1" applyFill="1" applyBorder="1" applyAlignment="1" applyProtection="1">
      <alignment horizontal="right" vertical="center" indent="2"/>
    </xf>
    <xf numFmtId="172" fontId="36" fillId="9" borderId="80" xfId="18" applyFont="1" applyFill="1" applyBorder="1" applyAlignment="1" applyProtection="1">
      <alignment horizontal="right" vertical="top" wrapText="1" indent="2"/>
    </xf>
    <xf numFmtId="6" fontId="36" fillId="0" borderId="80" xfId="21" applyNumberFormat="1" applyFont="1" applyFill="1" applyBorder="1" applyAlignment="1" applyProtection="1">
      <alignment horizontal="right" indent="2"/>
    </xf>
    <xf numFmtId="6" fontId="25" fillId="3" borderId="80" xfId="21" applyNumberFormat="1" applyFont="1" applyFill="1" applyBorder="1" applyAlignment="1" applyProtection="1">
      <alignment horizontal="right" indent="2"/>
    </xf>
    <xf numFmtId="3" fontId="23" fillId="0" borderId="80" xfId="11" applyFont="1" applyFill="1" applyBorder="1" applyAlignment="1" applyProtection="1">
      <alignment horizontal="right" vertical="center" indent="2"/>
    </xf>
    <xf numFmtId="0" fontId="23" fillId="9" borderId="0" xfId="0" applyFont="1" applyFill="1" applyBorder="1" applyAlignment="1" applyProtection="1">
      <protection locked="0"/>
    </xf>
    <xf numFmtId="3" fontId="50" fillId="2" borderId="93" xfId="11" applyFont="1" applyFill="1" applyBorder="1" applyAlignment="1">
      <alignment vertical="center"/>
    </xf>
    <xf numFmtId="3" fontId="38" fillId="2" borderId="93" xfId="11" applyFont="1" applyFill="1" applyBorder="1" applyAlignment="1" applyProtection="1">
      <alignment horizontal="left" vertical="center"/>
    </xf>
    <xf numFmtId="3" fontId="38" fillId="2" borderId="94" xfId="11" applyFont="1" applyFill="1" applyBorder="1" applyAlignment="1" applyProtection="1">
      <alignment horizontal="left" vertical="center"/>
    </xf>
    <xf numFmtId="3" fontId="38" fillId="0" borderId="93" xfId="11" applyFont="1" applyFill="1" applyBorder="1" applyAlignment="1">
      <alignment horizontal="left" vertical="center"/>
    </xf>
    <xf numFmtId="3" fontId="38" fillId="2" borderId="93" xfId="11" applyFont="1" applyFill="1" applyBorder="1" applyAlignment="1">
      <alignment horizontal="left" vertical="center"/>
    </xf>
    <xf numFmtId="3" fontId="38" fillId="2" borderId="94" xfId="11" applyFont="1" applyFill="1" applyBorder="1" applyAlignment="1">
      <alignment horizontal="left" vertical="center"/>
    </xf>
    <xf numFmtId="41" fontId="59" fillId="2" borderId="94" xfId="17" applyNumberFormat="1" applyFont="1" applyFill="1" applyBorder="1" applyAlignment="1">
      <alignment horizontal="right" vertical="center"/>
    </xf>
    <xf numFmtId="3" fontId="38" fillId="2" borderId="93" xfId="11" applyFont="1" applyFill="1" applyBorder="1" applyAlignment="1">
      <alignment vertical="center"/>
    </xf>
    <xf numFmtId="5" fontId="41" fillId="2" borderId="80" xfId="17" applyNumberFormat="1" applyFont="1" applyFill="1" applyBorder="1" applyAlignment="1" applyProtection="1">
      <alignment horizontal="right" vertical="center"/>
    </xf>
    <xf numFmtId="3" fontId="38" fillId="2" borderId="0" xfId="11" applyFont="1" applyFill="1" applyBorder="1" applyAlignment="1">
      <alignment horizontal="left" vertical="center" indent="1"/>
    </xf>
    <xf numFmtId="3" fontId="38" fillId="0" borderId="0" xfId="11" applyFont="1" applyFill="1" applyBorder="1" applyAlignment="1">
      <alignment horizontal="left" vertical="center" indent="1"/>
    </xf>
    <xf numFmtId="3" fontId="51" fillId="2" borderId="69" xfId="11" applyFont="1" applyFill="1" applyBorder="1" applyAlignment="1">
      <alignment horizontal="right" vertical="center"/>
    </xf>
    <xf numFmtId="3" fontId="51" fillId="0" borderId="69" xfId="11" applyFont="1" applyFill="1" applyBorder="1" applyAlignment="1">
      <alignment horizontal="right" vertical="center"/>
    </xf>
    <xf numFmtId="3" fontId="50" fillId="2" borderId="42" xfId="11" applyFont="1" applyFill="1" applyBorder="1" applyAlignment="1">
      <alignment horizontal="left"/>
    </xf>
    <xf numFmtId="3" fontId="38" fillId="2" borderId="0" xfId="11" applyFont="1" applyFill="1" applyBorder="1" applyAlignment="1" applyProtection="1">
      <alignment horizontal="left" vertical="center" indent="1"/>
    </xf>
    <xf numFmtId="3" fontId="38" fillId="0" borderId="0" xfId="11" applyFont="1" applyFill="1" applyBorder="1" applyAlignment="1" applyProtection="1">
      <alignment horizontal="left" vertical="center" indent="1"/>
    </xf>
    <xf numFmtId="3" fontId="51" fillId="2" borderId="69" xfId="11" applyFont="1" applyFill="1" applyBorder="1" applyAlignment="1" applyProtection="1">
      <alignment horizontal="right" vertical="center"/>
    </xf>
    <xf numFmtId="3" fontId="50" fillId="2" borderId="69" xfId="11" applyFont="1" applyFill="1" applyBorder="1" applyAlignment="1">
      <alignment horizontal="right" vertical="center"/>
    </xf>
    <xf numFmtId="5" fontId="41" fillId="2" borderId="87" xfId="17" applyNumberFormat="1" applyFont="1" applyFill="1" applyBorder="1" applyAlignment="1" applyProtection="1">
      <alignment horizontal="left" vertical="center"/>
    </xf>
    <xf numFmtId="5" fontId="41" fillId="2" borderId="77" xfId="17" applyNumberFormat="1" applyFont="1" applyFill="1" applyBorder="1" applyAlignment="1" applyProtection="1">
      <alignment horizontal="left" vertical="center"/>
    </xf>
    <xf numFmtId="5" fontId="50" fillId="2" borderId="0" xfId="11" applyNumberFormat="1" applyFont="1" applyFill="1" applyBorder="1" applyAlignment="1">
      <alignment horizontal="right" vertical="center"/>
    </xf>
    <xf numFmtId="41" fontId="41" fillId="2" borderId="69" xfId="17" applyNumberFormat="1" applyFont="1" applyFill="1" applyBorder="1" applyAlignment="1" applyProtection="1">
      <alignment horizontal="right" vertical="center"/>
    </xf>
    <xf numFmtId="41" fontId="41" fillId="2" borderId="69" xfId="17" applyNumberFormat="1" applyFont="1" applyFill="1" applyBorder="1" applyAlignment="1">
      <alignment horizontal="right" vertical="center"/>
    </xf>
    <xf numFmtId="41" fontId="59" fillId="2" borderId="69" xfId="17" applyNumberFormat="1" applyFont="1" applyFill="1" applyBorder="1" applyAlignment="1">
      <alignment horizontal="right" vertical="center"/>
    </xf>
    <xf numFmtId="41" fontId="41" fillId="0" borderId="85" xfId="17" applyNumberFormat="1" applyFont="1" applyFill="1" applyBorder="1" applyAlignment="1" applyProtection="1">
      <alignment horizontal="right" vertical="center"/>
    </xf>
    <xf numFmtId="0" fontId="23" fillId="9" borderId="0" xfId="0" applyFont="1" applyFill="1" applyBorder="1" applyProtection="1">
      <protection locked="0"/>
    </xf>
    <xf numFmtId="5" fontId="41" fillId="2" borderId="73" xfId="17" applyNumberFormat="1" applyFont="1" applyFill="1" applyBorder="1" applyAlignment="1" applyProtection="1">
      <alignment horizontal="left" vertical="center"/>
    </xf>
    <xf numFmtId="5" fontId="41" fillId="2" borderId="81" xfId="17" applyNumberFormat="1" applyFont="1" applyFill="1" applyBorder="1" applyAlignment="1" applyProtection="1">
      <alignment horizontal="right" vertical="center"/>
    </xf>
    <xf numFmtId="41" fontId="41" fillId="0" borderId="81" xfId="17" applyNumberFormat="1" applyFont="1" applyFill="1" applyBorder="1" applyAlignment="1" applyProtection="1">
      <alignment horizontal="right" vertical="center"/>
    </xf>
    <xf numFmtId="41" fontId="41" fillId="0" borderId="96" xfId="17" applyNumberFormat="1" applyFont="1" applyFill="1" applyBorder="1" applyAlignment="1" applyProtection="1">
      <alignment horizontal="right" vertical="center"/>
    </xf>
    <xf numFmtId="0" fontId="66" fillId="0" borderId="0" xfId="0" applyFont="1" applyFill="1" applyAlignment="1" applyProtection="1">
      <alignment horizontal="right"/>
    </xf>
    <xf numFmtId="9" fontId="34" fillId="0" borderId="0" xfId="5" applyFont="1" applyFill="1" applyBorder="1" applyProtection="1"/>
    <xf numFmtId="5" fontId="23" fillId="0" borderId="0" xfId="0" applyNumberFormat="1" applyFont="1" applyFill="1" applyBorder="1" applyProtection="1"/>
    <xf numFmtId="9" fontId="23" fillId="9" borderId="0" xfId="5" applyFont="1" applyFill="1" applyProtection="1"/>
    <xf numFmtId="0" fontId="24" fillId="0" borderId="0" xfId="0" applyFont="1" applyFill="1" applyAlignment="1" applyProtection="1">
      <alignment horizontal="right"/>
    </xf>
    <xf numFmtId="0" fontId="34" fillId="0" borderId="0" xfId="0" applyFont="1" applyFill="1" applyAlignment="1" applyProtection="1">
      <alignment horizontal="right"/>
    </xf>
    <xf numFmtId="0" fontId="34" fillId="0" borderId="0" xfId="0" applyFont="1" applyFill="1" applyBorder="1" applyAlignment="1" applyProtection="1">
      <alignment horizontal="right"/>
    </xf>
    <xf numFmtId="0" fontId="24" fillId="0" borderId="0" xfId="0" applyFont="1" applyFill="1" applyBorder="1" applyProtection="1"/>
    <xf numFmtId="9" fontId="23" fillId="0" borderId="0" xfId="5" applyFont="1" applyFill="1" applyProtection="1"/>
    <xf numFmtId="169" fontId="23" fillId="0" borderId="0" xfId="1" applyNumberFormat="1" applyFont="1" applyFill="1" applyProtection="1"/>
    <xf numFmtId="0" fontId="60" fillId="0" borderId="0" xfId="0" applyFont="1" applyFill="1" applyBorder="1" applyProtection="1"/>
    <xf numFmtId="3" fontId="64" fillId="0" borderId="0" xfId="14" applyFont="1" applyFill="1" applyBorder="1" applyAlignment="1" applyProtection="1">
      <alignment horizontal="left" indent="1"/>
    </xf>
    <xf numFmtId="9" fontId="24" fillId="0" borderId="0" xfId="5" applyFont="1" applyFill="1" applyBorder="1" applyProtection="1"/>
    <xf numFmtId="3" fontId="23" fillId="0" borderId="0" xfId="14" applyFont="1" applyFill="1" applyBorder="1" applyAlignment="1" applyProtection="1">
      <alignment horizontal="left" indent="1"/>
    </xf>
    <xf numFmtId="174" fontId="38" fillId="0" borderId="0" xfId="15" applyNumberFormat="1" applyFont="1" applyFill="1" applyBorder="1" applyAlignment="1" applyProtection="1">
      <alignment horizontal="left"/>
    </xf>
    <xf numFmtId="175" fontId="38" fillId="0" borderId="0" xfId="15" applyNumberFormat="1" applyFont="1" applyFill="1" applyBorder="1" applyAlignment="1" applyProtection="1">
      <alignment horizontal="left" wrapText="1"/>
    </xf>
    <xf numFmtId="10" fontId="24" fillId="0" borderId="0" xfId="0" applyNumberFormat="1" applyFont="1" applyFill="1" applyBorder="1" applyAlignment="1" applyProtection="1">
      <alignment horizontal="right"/>
    </xf>
    <xf numFmtId="0" fontId="36" fillId="0" borderId="0" xfId="0" applyFont="1" applyFill="1" applyProtection="1"/>
    <xf numFmtId="5" fontId="23" fillId="0" borderId="0" xfId="0" applyNumberFormat="1" applyFont="1" applyFill="1" applyProtection="1"/>
    <xf numFmtId="0" fontId="23" fillId="9" borderId="0" xfId="0" applyNumberFormat="1" applyFont="1" applyFill="1" applyAlignment="1" applyProtection="1">
      <alignment horizontal="left"/>
    </xf>
    <xf numFmtId="0" fontId="23" fillId="9" borderId="0" xfId="0" applyNumberFormat="1" applyFont="1" applyFill="1" applyAlignment="1" applyProtection="1">
      <alignment horizontal="right"/>
    </xf>
    <xf numFmtId="0" fontId="32" fillId="0" borderId="0" xfId="0" applyFont="1" applyBorder="1" applyAlignment="1" applyProtection="1">
      <alignment horizontal="left"/>
    </xf>
    <xf numFmtId="0" fontId="30" fillId="0" borderId="0" xfId="0" applyFont="1" applyFill="1" applyBorder="1" applyAlignment="1" applyProtection="1">
      <alignment horizontal="left" indent="1"/>
    </xf>
    <xf numFmtId="6" fontId="23" fillId="9" borderId="19" xfId="0" applyNumberFormat="1" applyFont="1" applyFill="1" applyBorder="1" applyAlignment="1" applyProtection="1">
      <alignment horizontal="right"/>
    </xf>
    <xf numFmtId="0" fontId="30" fillId="0" borderId="33" xfId="0" applyFont="1" applyFill="1" applyBorder="1" applyAlignment="1" applyProtection="1">
      <alignment horizontal="left" indent="1"/>
    </xf>
    <xf numFmtId="0" fontId="30" fillId="0" borderId="90" xfId="0" applyFont="1" applyFill="1" applyBorder="1" applyAlignment="1" applyProtection="1">
      <alignment horizontal="left" indent="1"/>
    </xf>
    <xf numFmtId="0" fontId="30" fillId="0" borderId="89" xfId="0" applyFont="1" applyFill="1" applyBorder="1" applyAlignment="1" applyProtection="1">
      <alignment horizontal="left" indent="1"/>
    </xf>
    <xf numFmtId="3" fontId="23" fillId="9" borderId="86" xfId="0" applyNumberFormat="1" applyFont="1" applyFill="1" applyBorder="1" applyAlignment="1" applyProtection="1">
      <alignment horizontal="right"/>
    </xf>
    <xf numFmtId="41" fontId="23" fillId="9" borderId="86" xfId="0" applyNumberFormat="1" applyFont="1" applyFill="1" applyBorder="1" applyAlignment="1" applyProtection="1">
      <alignment horizontal="right"/>
    </xf>
    <xf numFmtId="0" fontId="30" fillId="9" borderId="86" xfId="0" applyFont="1" applyFill="1" applyBorder="1" applyProtection="1"/>
    <xf numFmtId="5" fontId="31" fillId="9" borderId="86" xfId="0" applyNumberFormat="1" applyFont="1" applyFill="1" applyBorder="1" applyAlignment="1" applyProtection="1">
      <alignment horizontal="right"/>
    </xf>
    <xf numFmtId="0" fontId="24" fillId="9" borderId="86" xfId="0" applyFont="1" applyFill="1" applyBorder="1" applyProtection="1"/>
    <xf numFmtId="0" fontId="54" fillId="9" borderId="67" xfId="0" applyFont="1" applyFill="1" applyBorder="1" applyAlignment="1" applyProtection="1">
      <alignment horizontal="left"/>
    </xf>
    <xf numFmtId="168" fontId="25" fillId="0" borderId="67" xfId="0" applyNumberFormat="1" applyFont="1" applyBorder="1" applyAlignment="1" applyProtection="1">
      <alignment horizontal="center" wrapText="1"/>
    </xf>
    <xf numFmtId="168" fontId="27" fillId="0" borderId="67" xfId="0" applyNumberFormat="1" applyFont="1" applyFill="1" applyBorder="1" applyAlignment="1" applyProtection="1">
      <alignment horizontal="center" wrapText="1"/>
    </xf>
    <xf numFmtId="168" fontId="27" fillId="9" borderId="67" xfId="0" applyNumberFormat="1" applyFont="1" applyFill="1" applyBorder="1" applyAlignment="1" applyProtection="1">
      <alignment horizontal="center" wrapText="1"/>
    </xf>
    <xf numFmtId="0" fontId="59" fillId="9" borderId="67" xfId="0" applyFont="1" applyFill="1" applyBorder="1" applyAlignment="1" applyProtection="1">
      <alignment horizontal="center" wrapText="1"/>
    </xf>
    <xf numFmtId="0" fontId="28" fillId="9" borderId="67" xfId="0" applyFont="1" applyFill="1" applyBorder="1" applyAlignment="1" applyProtection="1">
      <alignment horizontal="center" wrapText="1"/>
    </xf>
    <xf numFmtId="167" fontId="27" fillId="3" borderId="99" xfId="0" applyNumberFormat="1" applyFont="1" applyFill="1" applyBorder="1" applyAlignment="1" applyProtection="1">
      <alignment horizontal="right"/>
    </xf>
    <xf numFmtId="0" fontId="23" fillId="0" borderId="0" xfId="0" applyFont="1" applyBorder="1" applyAlignment="1">
      <alignment horizontal="right" indent="1"/>
    </xf>
    <xf numFmtId="0" fontId="23" fillId="0" borderId="0" xfId="3" applyFont="1" applyBorder="1"/>
    <xf numFmtId="41" fontId="23" fillId="0" borderId="0" xfId="0" applyNumberFormat="1" applyFont="1" applyBorder="1" applyAlignment="1">
      <alignment horizontal="right"/>
    </xf>
    <xf numFmtId="41" fontId="23" fillId="0" borderId="0" xfId="0" applyNumberFormat="1" applyFont="1" applyBorder="1"/>
    <xf numFmtId="10" fontId="23" fillId="0" borderId="0" xfId="3" applyNumberFormat="1" applyFont="1" applyBorder="1"/>
    <xf numFmtId="0" fontId="25" fillId="0" borderId="0" xfId="0" applyFont="1" applyBorder="1"/>
    <xf numFmtId="0" fontId="50" fillId="0" borderId="0" xfId="0" applyFont="1" applyBorder="1" applyAlignment="1">
      <alignment horizontal="right"/>
    </xf>
    <xf numFmtId="0" fontId="25" fillId="0" borderId="0" xfId="3" applyFont="1" applyBorder="1"/>
    <xf numFmtId="41" fontId="25" fillId="0" borderId="0" xfId="0" applyNumberFormat="1" applyFont="1" applyBorder="1" applyAlignment="1">
      <alignment horizontal="right"/>
    </xf>
    <xf numFmtId="0" fontId="25" fillId="0" borderId="0" xfId="0" applyFont="1" applyBorder="1" applyAlignment="1" applyProtection="1">
      <alignment horizontal="left" indent="2"/>
      <protection locked="0"/>
    </xf>
    <xf numFmtId="0" fontId="25" fillId="0" borderId="0" xfId="0" applyFont="1" applyBorder="1" applyAlignment="1">
      <alignment horizontal="left" indent="2"/>
    </xf>
    <xf numFmtId="0" fontId="23" fillId="9" borderId="0" xfId="0" applyFont="1" applyFill="1" applyProtection="1">
      <protection locked="0"/>
    </xf>
    <xf numFmtId="0" fontId="57" fillId="9" borderId="0" xfId="0" applyFont="1" applyFill="1" applyBorder="1" applyProtection="1"/>
    <xf numFmtId="9" fontId="25" fillId="9" borderId="21" xfId="5" applyFont="1" applyFill="1" applyBorder="1" applyAlignment="1" applyProtection="1">
      <alignment horizontal="center"/>
    </xf>
    <xf numFmtId="9" fontId="23" fillId="9" borderId="17" xfId="5" applyFont="1" applyFill="1" applyBorder="1" applyAlignment="1" applyProtection="1"/>
    <xf numFmtId="5" fontId="57" fillId="9" borderId="0" xfId="0" applyNumberFormat="1" applyFont="1" applyFill="1" applyBorder="1" applyProtection="1"/>
    <xf numFmtId="9" fontId="23" fillId="9" borderId="26" xfId="5" applyFont="1" applyFill="1" applyBorder="1" applyAlignment="1" applyProtection="1"/>
    <xf numFmtId="9" fontId="25" fillId="9" borderId="26" xfId="5" applyFont="1" applyFill="1" applyBorder="1" applyAlignment="1" applyProtection="1"/>
    <xf numFmtId="10" fontId="23" fillId="9" borderId="17" xfId="5" applyNumberFormat="1" applyFont="1" applyFill="1" applyBorder="1" applyAlignment="1" applyProtection="1"/>
    <xf numFmtId="169" fontId="23" fillId="9" borderId="17" xfId="1" applyNumberFormat="1" applyFont="1" applyFill="1" applyBorder="1" applyAlignment="1" applyProtection="1"/>
    <xf numFmtId="0" fontId="38" fillId="0" borderId="0" xfId="0" applyFont="1" applyFill="1" applyBorder="1" applyAlignment="1" applyProtection="1">
      <alignment horizontal="right"/>
    </xf>
    <xf numFmtId="5" fontId="24" fillId="0" borderId="0" xfId="0" applyNumberFormat="1" applyFont="1" applyFill="1" applyBorder="1" applyProtection="1"/>
    <xf numFmtId="0" fontId="0" fillId="0" borderId="0" xfId="0" applyAlignment="1"/>
    <xf numFmtId="0" fontId="0" fillId="0" borderId="0" xfId="0" applyBorder="1" applyAlignment="1"/>
    <xf numFmtId="0" fontId="48" fillId="0" borderId="0" xfId="0" applyFont="1" applyAlignment="1">
      <alignment horizontal="center"/>
    </xf>
    <xf numFmtId="3" fontId="82" fillId="3" borderId="4" xfId="0" applyNumberFormat="1" applyFont="1" applyFill="1" applyBorder="1" applyAlignment="1">
      <alignment horizontal="right"/>
    </xf>
    <xf numFmtId="3" fontId="82" fillId="3" borderId="0" xfId="0" applyNumberFormat="1" applyFont="1" applyFill="1" applyBorder="1" applyAlignment="1">
      <alignment horizontal="right"/>
    </xf>
    <xf numFmtId="3" fontId="82" fillId="3" borderId="6" xfId="0" applyNumberFormat="1" applyFont="1" applyFill="1" applyBorder="1" applyAlignment="1">
      <alignment horizontal="right"/>
    </xf>
    <xf numFmtId="3" fontId="82" fillId="0" borderId="4" xfId="0" applyNumberFormat="1" applyFont="1" applyBorder="1" applyAlignment="1">
      <alignment horizontal="right"/>
    </xf>
    <xf numFmtId="3" fontId="82" fillId="0" borderId="0" xfId="0" applyNumberFormat="1" applyFont="1" applyBorder="1" applyAlignment="1">
      <alignment horizontal="right"/>
    </xf>
    <xf numFmtId="3" fontId="82" fillId="0" borderId="6" xfId="0" applyNumberFormat="1" applyFont="1" applyBorder="1" applyAlignment="1">
      <alignment horizontal="right"/>
    </xf>
    <xf numFmtId="3" fontId="82" fillId="0" borderId="7" xfId="0" applyNumberFormat="1" applyFont="1" applyBorder="1" applyAlignment="1">
      <alignment horizontal="right"/>
    </xf>
    <xf numFmtId="3" fontId="82" fillId="0" borderId="8" xfId="0" applyNumberFormat="1" applyFont="1" applyBorder="1" applyAlignment="1">
      <alignment horizontal="right"/>
    </xf>
    <xf numFmtId="3" fontId="82" fillId="0" borderId="9" xfId="0" applyNumberFormat="1" applyFont="1" applyBorder="1" applyAlignment="1">
      <alignment horizontal="right"/>
    </xf>
    <xf numFmtId="3" fontId="38" fillId="2" borderId="0" xfId="11" applyFont="1" applyFill="1" applyAlignment="1" applyProtection="1">
      <alignment horizontal="left" vertical="center"/>
      <protection locked="0"/>
    </xf>
    <xf numFmtId="168" fontId="25" fillId="0" borderId="0" xfId="0" applyNumberFormat="1" applyFont="1" applyFill="1" applyBorder="1" applyAlignment="1" applyProtection="1">
      <alignment horizontal="right"/>
    </xf>
    <xf numFmtId="0" fontId="25" fillId="9" borderId="0" xfId="0" applyFont="1" applyFill="1" applyAlignment="1" applyProtection="1">
      <alignment horizontal="left"/>
    </xf>
    <xf numFmtId="0" fontId="23" fillId="9" borderId="0" xfId="0" applyFont="1" applyFill="1" applyAlignment="1" applyProtection="1">
      <alignment horizontal="left"/>
    </xf>
    <xf numFmtId="168" fontId="23" fillId="9" borderId="0" xfId="0" applyNumberFormat="1" applyFont="1" applyFill="1" applyBorder="1" applyAlignment="1" applyProtection="1">
      <alignment horizontal="left" wrapText="1"/>
    </xf>
    <xf numFmtId="0" fontId="23" fillId="0" borderId="0" xfId="3" applyFont="1" applyProtection="1">
      <protection locked="0"/>
    </xf>
    <xf numFmtId="182" fontId="23" fillId="0" borderId="0" xfId="0" applyNumberFormat="1" applyFont="1" applyBorder="1" applyAlignment="1" applyProtection="1">
      <alignment horizontal="center"/>
    </xf>
    <xf numFmtId="0" fontId="23" fillId="0" borderId="0" xfId="0" applyFont="1" applyProtection="1">
      <protection locked="0"/>
    </xf>
    <xf numFmtId="9" fontId="81" fillId="0" borderId="54" xfId="0" applyNumberFormat="1" applyFont="1" applyFill="1" applyBorder="1" applyAlignment="1">
      <alignment horizontal="right" indent="1"/>
    </xf>
    <xf numFmtId="6" fontId="23" fillId="0" borderId="54" xfId="0" applyNumberFormat="1" applyFont="1" applyFill="1" applyBorder="1" applyAlignment="1">
      <alignment horizontal="right"/>
    </xf>
    <xf numFmtId="168" fontId="25" fillId="0" borderId="71" xfId="0" applyNumberFormat="1" applyFont="1" applyFill="1" applyBorder="1" applyAlignment="1">
      <alignment horizontal="right" indent="2"/>
    </xf>
    <xf numFmtId="5" fontId="25" fillId="0" borderId="44" xfId="0" applyNumberFormat="1" applyFont="1" applyFill="1" applyBorder="1" applyAlignment="1">
      <alignment horizontal="right" indent="1"/>
    </xf>
    <xf numFmtId="5" fontId="25" fillId="0" borderId="40" xfId="0" applyNumberFormat="1" applyFont="1" applyFill="1" applyBorder="1" applyAlignment="1">
      <alignment horizontal="right" indent="2"/>
    </xf>
    <xf numFmtId="0" fontId="23" fillId="3" borderId="40" xfId="0" applyFont="1" applyFill="1" applyBorder="1" applyAlignment="1">
      <alignment horizontal="center"/>
    </xf>
    <xf numFmtId="3" fontId="23" fillId="9" borderId="0" xfId="11" applyFont="1" applyFill="1" applyBorder="1" applyAlignment="1" applyProtection="1">
      <alignment horizontal="left" vertical="center"/>
      <protection locked="0"/>
    </xf>
    <xf numFmtId="182" fontId="47" fillId="5" borderId="31" xfId="34" applyNumberFormat="1" applyFont="1" applyFill="1" applyBorder="1" applyAlignment="1" applyProtection="1">
      <alignment horizontal="center"/>
      <protection locked="0"/>
    </xf>
    <xf numFmtId="38" fontId="23" fillId="5" borderId="80" xfId="21" applyNumberFormat="1" applyFont="1" applyFill="1" applyBorder="1" applyAlignment="1" applyProtection="1">
      <protection locked="0"/>
    </xf>
    <xf numFmtId="38" fontId="23" fillId="0" borderId="80" xfId="21" applyNumberFormat="1" applyFont="1" applyFill="1" applyBorder="1" applyAlignment="1" applyProtection="1">
      <alignment horizontal="right" indent="2"/>
    </xf>
    <xf numFmtId="37" fontId="38" fillId="2" borderId="0" xfId="17" applyNumberFormat="1" applyFont="1" applyFill="1" applyBorder="1" applyAlignment="1" applyProtection="1">
      <alignment horizontal="right" vertical="center"/>
    </xf>
    <xf numFmtId="168" fontId="23" fillId="5" borderId="78" xfId="19" applyNumberFormat="1" applyFont="1" applyFill="1" applyBorder="1" applyAlignment="1" applyProtection="1">
      <alignment horizontal="right" vertical="top" wrapText="1"/>
      <protection locked="0"/>
    </xf>
    <xf numFmtId="168" fontId="32" fillId="0" borderId="32" xfId="0" applyNumberFormat="1" applyFont="1" applyFill="1" applyBorder="1" applyAlignment="1" applyProtection="1">
      <alignment horizontal="right"/>
    </xf>
    <xf numFmtId="168" fontId="53" fillId="0" borderId="79" xfId="0" applyNumberFormat="1" applyFont="1" applyBorder="1" applyAlignment="1" applyProtection="1">
      <alignment horizontal="right"/>
    </xf>
    <xf numFmtId="9" fontId="67" fillId="9" borderId="0" xfId="0" applyNumberFormat="1" applyFont="1" applyFill="1" applyBorder="1" applyProtection="1"/>
    <xf numFmtId="0" fontId="30" fillId="9" borderId="28" xfId="0" applyFont="1" applyFill="1" applyBorder="1" applyAlignment="1" applyProtection="1"/>
    <xf numFmtId="0" fontId="30" fillId="9" borderId="28" xfId="0" applyFont="1" applyFill="1" applyBorder="1" applyAlignment="1" applyProtection="1">
      <alignment horizontal="right"/>
    </xf>
    <xf numFmtId="5" fontId="53" fillId="9" borderId="32" xfId="0" applyNumberFormat="1" applyFont="1" applyFill="1" applyBorder="1" applyAlignment="1" applyProtection="1">
      <alignment horizontal="right"/>
    </xf>
    <xf numFmtId="0" fontId="36" fillId="0" borderId="0" xfId="0" applyFont="1" applyAlignment="1" applyProtection="1">
      <alignment horizontal="right"/>
    </xf>
    <xf numFmtId="5" fontId="53" fillId="0" borderId="32" xfId="0" applyNumberFormat="1" applyFont="1" applyFill="1" applyBorder="1" applyAlignment="1" applyProtection="1">
      <alignment horizontal="right"/>
    </xf>
    <xf numFmtId="5" fontId="53" fillId="0" borderId="0" xfId="0" applyNumberFormat="1" applyFont="1" applyFill="1" applyBorder="1" applyAlignment="1" applyProtection="1">
      <alignment horizontal="center" wrapText="1"/>
    </xf>
    <xf numFmtId="0" fontId="36" fillId="9" borderId="28" xfId="0" applyFont="1" applyFill="1" applyBorder="1" applyAlignment="1" applyProtection="1"/>
    <xf numFmtId="168" fontId="53" fillId="0" borderId="32" xfId="0" applyNumberFormat="1" applyFont="1" applyBorder="1" applyAlignment="1" applyProtection="1">
      <alignment horizontal="right"/>
    </xf>
    <xf numFmtId="168" fontId="23" fillId="0" borderId="78" xfId="19" applyNumberFormat="1" applyFont="1" applyFill="1" applyBorder="1" applyAlignment="1" applyProtection="1">
      <alignment horizontal="right" vertical="top" wrapText="1"/>
    </xf>
    <xf numFmtId="10" fontId="23" fillId="0" borderId="0" xfId="0" applyNumberFormat="1" applyFont="1" applyFill="1" applyBorder="1" applyAlignment="1" applyProtection="1">
      <alignment horizontal="center" wrapText="1"/>
    </xf>
    <xf numFmtId="10" fontId="23" fillId="9" borderId="0" xfId="0" applyNumberFormat="1" applyFont="1" applyFill="1" applyBorder="1" applyAlignment="1" applyProtection="1"/>
    <xf numFmtId="0" fontId="67" fillId="9" borderId="0" xfId="0" applyFont="1" applyFill="1" applyBorder="1" applyProtection="1"/>
    <xf numFmtId="41" fontId="36" fillId="9" borderId="0" xfId="0" applyNumberFormat="1" applyFont="1" applyFill="1" applyBorder="1" applyAlignment="1" applyProtection="1">
      <alignment horizontal="center"/>
    </xf>
    <xf numFmtId="10" fontId="67" fillId="9" borderId="0" xfId="5" applyNumberFormat="1" applyFont="1" applyFill="1" applyBorder="1" applyProtection="1"/>
    <xf numFmtId="168" fontId="36" fillId="0" borderId="0" xfId="0" applyNumberFormat="1" applyFont="1" applyFill="1" applyBorder="1" applyProtection="1"/>
    <xf numFmtId="168" fontId="67" fillId="9" borderId="0" xfId="1" applyNumberFormat="1" applyFont="1" applyFill="1" applyBorder="1" applyProtection="1"/>
    <xf numFmtId="6" fontId="23" fillId="5" borderId="19" xfId="0" applyNumberFormat="1" applyFont="1" applyFill="1" applyBorder="1" applyAlignment="1" applyProtection="1">
      <alignment horizontal="right"/>
      <protection locked="0"/>
    </xf>
    <xf numFmtId="6" fontId="23" fillId="5" borderId="19" xfId="1" applyNumberFormat="1" applyFont="1" applyFill="1" applyBorder="1" applyAlignment="1" applyProtection="1">
      <alignment horizontal="right"/>
      <protection locked="0"/>
    </xf>
    <xf numFmtId="38" fontId="23" fillId="9" borderId="17" xfId="0" applyNumberFormat="1" applyFont="1" applyFill="1" applyBorder="1" applyAlignment="1" applyProtection="1">
      <alignment horizontal="right"/>
    </xf>
    <xf numFmtId="38" fontId="23" fillId="5" borderId="17" xfId="0" applyNumberFormat="1" applyFont="1" applyFill="1" applyBorder="1" applyAlignment="1" applyProtection="1">
      <alignment horizontal="right"/>
      <protection locked="0"/>
    </xf>
    <xf numFmtId="38" fontId="23" fillId="5" borderId="17" xfId="1" applyNumberFormat="1" applyFont="1" applyFill="1" applyBorder="1" applyAlignment="1" applyProtection="1">
      <alignment horizontal="right"/>
      <protection locked="0"/>
    </xf>
    <xf numFmtId="38" fontId="23" fillId="9" borderId="17" xfId="1" applyNumberFormat="1" applyFont="1" applyFill="1" applyBorder="1" applyAlignment="1" applyProtection="1">
      <alignment horizontal="right"/>
    </xf>
    <xf numFmtId="38" fontId="23" fillId="0" borderId="17" xfId="1" applyNumberFormat="1" applyFont="1" applyFill="1" applyBorder="1" applyAlignment="1" applyProtection="1">
      <alignment horizontal="right"/>
    </xf>
    <xf numFmtId="6" fontId="23" fillId="5" borderId="97" xfId="19" applyNumberFormat="1" applyFont="1" applyFill="1" applyBorder="1" applyAlignment="1" applyProtection="1">
      <alignment horizontal="right" vertical="top" wrapText="1"/>
      <protection locked="0"/>
    </xf>
    <xf numFmtId="38" fontId="23" fillId="5" borderId="78" xfId="19" applyNumberFormat="1" applyFont="1" applyFill="1" applyBorder="1" applyAlignment="1" applyProtection="1">
      <alignment horizontal="right" vertical="top" wrapText="1"/>
      <protection locked="0"/>
    </xf>
    <xf numFmtId="38" fontId="23" fillId="9" borderId="78" xfId="19" applyNumberFormat="1" applyFont="1" applyFill="1" applyBorder="1" applyAlignment="1" applyProtection="1">
      <alignment horizontal="right" vertical="top" wrapText="1"/>
    </xf>
    <xf numFmtId="172" fontId="23" fillId="0" borderId="80" xfId="18" applyFont="1" applyFill="1" applyBorder="1" applyAlignment="1" applyProtection="1">
      <alignment horizontal="left" vertical="top" wrapText="1" indent="1"/>
    </xf>
    <xf numFmtId="38" fontId="23" fillId="0" borderId="80" xfId="21" applyNumberFormat="1" applyFont="1" applyFill="1" applyBorder="1" applyAlignment="1" applyProtection="1"/>
    <xf numFmtId="6" fontId="23" fillId="0" borderId="19" xfId="0" applyNumberFormat="1" applyFont="1" applyFill="1" applyBorder="1" applyAlignment="1" applyProtection="1">
      <alignment horizontal="right"/>
    </xf>
    <xf numFmtId="6" fontId="23" fillId="0" borderId="68" xfId="1" applyNumberFormat="1" applyFont="1" applyFill="1" applyBorder="1" applyAlignment="1" applyProtection="1">
      <alignment horizontal="right"/>
    </xf>
    <xf numFmtId="38" fontId="23" fillId="5" borderId="19" xfId="1" applyNumberFormat="1" applyFont="1" applyFill="1" applyBorder="1" applyAlignment="1" applyProtection="1">
      <alignment horizontal="right"/>
      <protection locked="0"/>
    </xf>
    <xf numFmtId="6" fontId="23" fillId="0" borderId="80" xfId="1" applyNumberFormat="1" applyFont="1" applyFill="1" applyBorder="1" applyAlignment="1" applyProtection="1">
      <alignment horizontal="right"/>
    </xf>
    <xf numFmtId="6" fontId="23" fillId="5" borderId="102" xfId="19" applyNumberFormat="1" applyFont="1" applyFill="1" applyBorder="1" applyAlignment="1" applyProtection="1">
      <alignment horizontal="right" vertical="top" wrapText="1"/>
      <protection locked="0"/>
    </xf>
    <xf numFmtId="6" fontId="23" fillId="5" borderId="101" xfId="19" applyNumberFormat="1" applyFont="1" applyFill="1" applyBorder="1" applyAlignment="1" applyProtection="1">
      <alignment horizontal="right" vertical="top" wrapText="1"/>
      <protection locked="0"/>
    </xf>
    <xf numFmtId="6" fontId="23" fillId="5" borderId="17" xfId="0" applyNumberFormat="1" applyFont="1" applyFill="1" applyBorder="1" applyAlignment="1" applyProtection="1">
      <alignment horizontal="right"/>
      <protection locked="0"/>
    </xf>
    <xf numFmtId="6" fontId="23" fillId="5" borderId="17" xfId="1" applyNumberFormat="1" applyFont="1" applyFill="1" applyBorder="1" applyAlignment="1" applyProtection="1">
      <alignment horizontal="right"/>
      <protection locked="0"/>
    </xf>
    <xf numFmtId="0" fontId="23" fillId="9" borderId="42" xfId="0" applyFont="1" applyFill="1" applyBorder="1" applyProtection="1"/>
    <xf numFmtId="38" fontId="23" fillId="0" borderId="17" xfId="0" applyNumberFormat="1" applyFont="1" applyFill="1" applyBorder="1" applyAlignment="1" applyProtection="1">
      <alignment horizontal="right"/>
    </xf>
    <xf numFmtId="0" fontId="25" fillId="9" borderId="107" xfId="0" applyFont="1" applyFill="1" applyBorder="1" applyAlignment="1" applyProtection="1">
      <alignment horizontal="right"/>
    </xf>
    <xf numFmtId="1" fontId="23" fillId="0" borderId="17" xfId="0" applyNumberFormat="1" applyFont="1" applyFill="1" applyBorder="1" applyAlignment="1" applyProtection="1">
      <alignment horizontal="right" indent="2"/>
    </xf>
    <xf numFmtId="164" fontId="23" fillId="0" borderId="17" xfId="0" applyNumberFormat="1" applyFont="1" applyFill="1" applyBorder="1" applyAlignment="1" applyProtection="1">
      <alignment horizontal="right" indent="2"/>
    </xf>
    <xf numFmtId="37" fontId="23" fillId="0" borderId="17" xfId="0" applyNumberFormat="1" applyFont="1" applyFill="1" applyBorder="1" applyAlignment="1" applyProtection="1">
      <alignment horizontal="right" indent="2"/>
    </xf>
    <xf numFmtId="0" fontId="23" fillId="0" borderId="17" xfId="0" applyFont="1" applyFill="1" applyBorder="1" applyAlignment="1" applyProtection="1">
      <alignment horizontal="right" wrapText="1" indent="2"/>
    </xf>
    <xf numFmtId="0" fontId="23" fillId="5" borderId="80" xfId="0" applyFont="1" applyFill="1" applyBorder="1" applyAlignment="1" applyProtection="1">
      <alignment horizontal="left" vertical="top" wrapText="1"/>
      <protection locked="0"/>
    </xf>
    <xf numFmtId="9" fontId="25" fillId="1" borderId="80" xfId="9" applyNumberFormat="1" applyFont="1" applyFill="1" applyBorder="1" applyAlignment="1" applyProtection="1">
      <alignment horizontal="center"/>
    </xf>
    <xf numFmtId="0" fontId="25" fillId="1" borderId="80" xfId="0" applyFont="1" applyFill="1" applyBorder="1" applyAlignment="1" applyProtection="1">
      <alignment horizontal="center"/>
    </xf>
    <xf numFmtId="9" fontId="25" fillId="16" borderId="80" xfId="9" applyFont="1" applyFill="1" applyBorder="1" applyAlignment="1" applyProtection="1">
      <alignment horizontal="right" indent="1"/>
    </xf>
    <xf numFmtId="38" fontId="25" fillId="5" borderId="80" xfId="21" applyNumberFormat="1" applyFont="1" applyFill="1" applyBorder="1" applyAlignment="1" applyProtection="1">
      <protection locked="0"/>
    </xf>
    <xf numFmtId="169" fontId="38" fillId="9" borderId="0" xfId="1" applyNumberFormat="1" applyFont="1" applyFill="1" applyAlignment="1">
      <alignment horizontal="right" vertical="top"/>
    </xf>
    <xf numFmtId="0" fontId="25" fillId="9" borderId="82" xfId="0" applyFont="1" applyFill="1" applyBorder="1" applyAlignment="1" applyProtection="1">
      <alignment horizontal="center"/>
    </xf>
    <xf numFmtId="0" fontId="23" fillId="0" borderId="0" xfId="0" applyFont="1"/>
    <xf numFmtId="168" fontId="23" fillId="0" borderId="0" xfId="0" applyNumberFormat="1" applyFont="1" applyFill="1" applyBorder="1" applyAlignment="1" applyProtection="1">
      <alignment horizontal="right"/>
    </xf>
    <xf numFmtId="168" fontId="23" fillId="9" borderId="0" xfId="0" applyNumberFormat="1" applyFont="1" applyFill="1" applyBorder="1" applyAlignment="1" applyProtection="1">
      <alignment horizontal="right" vertical="center" indent="1"/>
    </xf>
    <xf numFmtId="172" fontId="23" fillId="0" borderId="0" xfId="0" applyNumberFormat="1" applyFont="1" applyFill="1" applyBorder="1" applyAlignment="1" applyProtection="1">
      <alignment vertical="center"/>
    </xf>
    <xf numFmtId="0" fontId="23" fillId="9" borderId="82" xfId="0" applyFont="1" applyFill="1" applyBorder="1" applyProtection="1"/>
    <xf numFmtId="0" fontId="29" fillId="9" borderId="82" xfId="0" applyFont="1" applyFill="1" applyBorder="1" applyAlignment="1" applyProtection="1">
      <alignment horizontal="center"/>
    </xf>
    <xf numFmtId="0" fontId="26" fillId="0" borderId="82" xfId="0" applyFont="1" applyFill="1" applyBorder="1" applyAlignment="1" applyProtection="1">
      <alignment horizontal="center"/>
    </xf>
    <xf numFmtId="0" fontId="53" fillId="9" borderId="67" xfId="0" applyFont="1" applyFill="1" applyBorder="1" applyAlignment="1" applyProtection="1">
      <alignment horizontal="center" wrapText="1"/>
    </xf>
    <xf numFmtId="10" fontId="67" fillId="9" borderId="86" xfId="5" applyNumberFormat="1" applyFont="1" applyFill="1" applyBorder="1" applyProtection="1"/>
    <xf numFmtId="0" fontId="53" fillId="9" borderId="76" xfId="0" applyFont="1" applyFill="1" applyBorder="1" applyAlignment="1" applyProtection="1">
      <alignment horizontal="center" wrapText="1"/>
    </xf>
    <xf numFmtId="0" fontId="88" fillId="0" borderId="76" xfId="0" applyFont="1" applyBorder="1" applyAlignment="1">
      <alignment horizontal="center" wrapText="1"/>
    </xf>
    <xf numFmtId="0" fontId="30" fillId="0" borderId="0" xfId="0" applyFont="1" applyFill="1" applyBorder="1" applyAlignment="1" applyProtection="1">
      <alignment horizontal="left" indent="1"/>
    </xf>
    <xf numFmtId="0" fontId="30" fillId="0" borderId="89" xfId="0" applyFont="1" applyFill="1" applyBorder="1" applyAlignment="1" applyProtection="1">
      <alignment horizontal="left" indent="1"/>
    </xf>
    <xf numFmtId="0" fontId="0" fillId="0" borderId="82" xfId="0" applyBorder="1" applyAlignment="1">
      <alignment horizontal="center"/>
    </xf>
    <xf numFmtId="0" fontId="54" fillId="9" borderId="67" xfId="0" applyFont="1" applyFill="1" applyBorder="1" applyAlignment="1" applyProtection="1">
      <alignment horizontal="left"/>
    </xf>
    <xf numFmtId="0" fontId="23" fillId="0" borderId="0" xfId="3" applyFont="1" applyAlignment="1">
      <alignment horizontal="left" indent="1"/>
    </xf>
    <xf numFmtId="0" fontId="0" fillId="0" borderId="0" xfId="0" applyBorder="1" applyAlignment="1">
      <alignment horizontal="center"/>
    </xf>
    <xf numFmtId="0" fontId="0" fillId="0" borderId="0" xfId="0" applyBorder="1" applyAlignment="1">
      <alignment horizontal="center" wrapText="1"/>
    </xf>
    <xf numFmtId="167" fontId="27" fillId="3" borderId="80" xfId="2" applyNumberFormat="1" applyFont="1" applyFill="1" applyBorder="1" applyAlignment="1" applyProtection="1">
      <alignment horizontal="right"/>
    </xf>
    <xf numFmtId="10" fontId="32" fillId="9" borderId="80" xfId="0" applyNumberFormat="1" applyFont="1" applyFill="1" applyBorder="1" applyAlignment="1" applyProtection="1">
      <alignment horizontal="right"/>
    </xf>
    <xf numFmtId="167" fontId="29" fillId="9" borderId="80" xfId="2" applyNumberFormat="1" applyFont="1" applyFill="1" applyBorder="1" applyAlignment="1" applyProtection="1">
      <alignment horizontal="right"/>
    </xf>
    <xf numFmtId="167" fontId="53" fillId="0" borderId="80" xfId="2" applyNumberFormat="1" applyFont="1" applyFill="1" applyBorder="1" applyAlignment="1" applyProtection="1">
      <alignment horizontal="right"/>
    </xf>
    <xf numFmtId="0" fontId="53" fillId="9" borderId="75" xfId="0" applyFont="1" applyFill="1" applyBorder="1" applyAlignment="1" applyProtection="1">
      <alignment horizontal="center" wrapText="1"/>
    </xf>
    <xf numFmtId="10" fontId="42" fillId="9" borderId="28" xfId="0" applyNumberFormat="1" applyFont="1" applyFill="1" applyBorder="1" applyAlignment="1" applyProtection="1"/>
    <xf numFmtId="10" fontId="25" fillId="9" borderId="0" xfId="0" applyNumberFormat="1" applyFont="1" applyFill="1" applyBorder="1" applyAlignment="1" applyProtection="1">
      <alignment horizontal="right"/>
    </xf>
    <xf numFmtId="10" fontId="25" fillId="9" borderId="32" xfId="0" applyNumberFormat="1" applyFont="1" applyFill="1" applyBorder="1" applyAlignment="1" applyProtection="1">
      <alignment horizontal="right"/>
    </xf>
    <xf numFmtId="10" fontId="36" fillId="9" borderId="0" xfId="5" applyNumberFormat="1" applyFont="1" applyFill="1" applyBorder="1" applyAlignment="1" applyProtection="1">
      <alignment horizontal="right"/>
    </xf>
    <xf numFmtId="10" fontId="67" fillId="9" borderId="0" xfId="5" applyNumberFormat="1" applyFont="1" applyFill="1" applyBorder="1" applyAlignment="1" applyProtection="1">
      <alignment horizontal="right"/>
    </xf>
    <xf numFmtId="6" fontId="23" fillId="0" borderId="80" xfId="0" applyNumberFormat="1" applyFont="1" applyBorder="1" applyAlignment="1" applyProtection="1">
      <alignment horizontal="right" wrapText="1" indent="2"/>
    </xf>
    <xf numFmtId="38" fontId="23" fillId="0" borderId="80" xfId="0" applyNumberFormat="1" applyFont="1" applyBorder="1" applyAlignment="1" applyProtection="1">
      <alignment horizontal="right" wrapText="1" indent="2"/>
    </xf>
    <xf numFmtId="6" fontId="23" fillId="0" borderId="105" xfId="0" applyNumberFormat="1" applyFont="1" applyBorder="1" applyAlignment="1" applyProtection="1">
      <alignment horizontal="right" wrapText="1" indent="2"/>
    </xf>
    <xf numFmtId="0" fontId="23" fillId="0" borderId="0" xfId="0" applyFont="1"/>
    <xf numFmtId="0" fontId="0" fillId="0" borderId="0" xfId="0" applyAlignment="1">
      <alignment horizontal="center" wrapText="1"/>
    </xf>
    <xf numFmtId="0" fontId="23" fillId="0" borderId="0" xfId="0" applyFont="1" applyAlignment="1"/>
    <xf numFmtId="0" fontId="23" fillId="0" borderId="0" xfId="0" applyFont="1"/>
    <xf numFmtId="169" fontId="30" fillId="0" borderId="61" xfId="1" applyNumberFormat="1" applyFont="1" applyFill="1" applyBorder="1" applyProtection="1"/>
    <xf numFmtId="10" fontId="23" fillId="9" borderId="61" xfId="5" applyNumberFormat="1" applyFont="1" applyFill="1" applyBorder="1" applyAlignment="1" applyProtection="1"/>
    <xf numFmtId="169" fontId="30" fillId="9" borderId="116" xfId="1" applyNumberFormat="1" applyFont="1" applyFill="1" applyBorder="1" applyAlignment="1" applyProtection="1">
      <alignment horizontal="right"/>
    </xf>
    <xf numFmtId="169" fontId="30" fillId="0" borderId="119" xfId="1" applyNumberFormat="1" applyFont="1" applyFill="1" applyBorder="1" applyProtection="1"/>
    <xf numFmtId="9" fontId="23" fillId="9" borderId="119" xfId="5" applyFont="1" applyFill="1" applyBorder="1" applyAlignment="1" applyProtection="1"/>
    <xf numFmtId="169" fontId="30" fillId="9" borderId="120" xfId="1" applyNumberFormat="1" applyFont="1" applyFill="1" applyBorder="1" applyAlignment="1" applyProtection="1">
      <alignment horizontal="right"/>
    </xf>
    <xf numFmtId="169" fontId="30" fillId="0" borderId="21" xfId="1" applyNumberFormat="1" applyFont="1" applyFill="1" applyBorder="1" applyProtection="1"/>
    <xf numFmtId="9" fontId="25" fillId="9" borderId="21" xfId="5" applyFont="1" applyFill="1" applyBorder="1" applyAlignment="1" applyProtection="1"/>
    <xf numFmtId="169" fontId="30" fillId="9" borderId="22" xfId="1" applyNumberFormat="1" applyFont="1" applyFill="1" applyBorder="1" applyAlignment="1" applyProtection="1">
      <alignment horizontal="right"/>
    </xf>
    <xf numFmtId="9" fontId="30" fillId="0" borderId="76" xfId="5" applyFont="1" applyFill="1" applyBorder="1" applyProtection="1"/>
    <xf numFmtId="9" fontId="23" fillId="9" borderId="21" xfId="5" applyFont="1" applyFill="1" applyBorder="1" applyAlignment="1" applyProtection="1"/>
    <xf numFmtId="169" fontId="30" fillId="0" borderId="133" xfId="1" applyNumberFormat="1" applyFont="1" applyFill="1" applyBorder="1" applyProtection="1"/>
    <xf numFmtId="9" fontId="23" fillId="9" borderId="133" xfId="5" applyFont="1" applyFill="1" applyBorder="1" applyAlignment="1" applyProtection="1"/>
    <xf numFmtId="169" fontId="30" fillId="9" borderId="134" xfId="1" applyNumberFormat="1" applyFont="1" applyFill="1" applyBorder="1" applyAlignment="1" applyProtection="1">
      <alignment horizontal="right"/>
    </xf>
    <xf numFmtId="169" fontId="30" fillId="0" borderId="136" xfId="1" applyNumberFormat="1" applyFont="1" applyFill="1" applyBorder="1" applyProtection="1"/>
    <xf numFmtId="9" fontId="23" fillId="9" borderId="136" xfId="5" applyFont="1" applyFill="1" applyBorder="1" applyAlignment="1" applyProtection="1"/>
    <xf numFmtId="169" fontId="30" fillId="9" borderId="137" xfId="1" applyNumberFormat="1" applyFont="1" applyFill="1" applyBorder="1" applyAlignment="1" applyProtection="1">
      <alignment horizontal="right"/>
    </xf>
    <xf numFmtId="169" fontId="27" fillId="9" borderId="137" xfId="1" applyNumberFormat="1" applyFont="1" applyFill="1" applyBorder="1" applyAlignment="1" applyProtection="1">
      <alignment horizontal="right"/>
    </xf>
    <xf numFmtId="169" fontId="30" fillId="0" borderId="139" xfId="1" applyNumberFormat="1" applyFont="1" applyFill="1" applyBorder="1" applyProtection="1"/>
    <xf numFmtId="9" fontId="23" fillId="9" borderId="139" xfId="5" applyFont="1" applyFill="1" applyBorder="1" applyAlignment="1" applyProtection="1"/>
    <xf numFmtId="169" fontId="27" fillId="9" borderId="140" xfId="1" applyNumberFormat="1" applyFont="1" applyFill="1" applyBorder="1" applyAlignment="1" applyProtection="1">
      <alignment horizontal="right"/>
    </xf>
    <xf numFmtId="9" fontId="25" fillId="9" borderId="133" xfId="5" applyFont="1" applyFill="1" applyBorder="1" applyAlignment="1" applyProtection="1"/>
    <xf numFmtId="169" fontId="30" fillId="0" borderId="142" xfId="1" applyNumberFormat="1" applyFont="1" applyFill="1" applyBorder="1" applyProtection="1"/>
    <xf numFmtId="9" fontId="23" fillId="9" borderId="142" xfId="5" applyFont="1" applyFill="1" applyBorder="1" applyAlignment="1" applyProtection="1"/>
    <xf numFmtId="169" fontId="30" fillId="9" borderId="143" xfId="1" applyNumberFormat="1" applyFont="1" applyFill="1" applyBorder="1" applyAlignment="1" applyProtection="1">
      <alignment horizontal="right"/>
    </xf>
    <xf numFmtId="43" fontId="30" fillId="0" borderId="21" xfId="1" applyNumberFormat="1" applyFont="1" applyFill="1" applyBorder="1" applyProtection="1"/>
    <xf numFmtId="169" fontId="27" fillId="9" borderId="22" xfId="1" applyNumberFormat="1" applyFont="1" applyFill="1" applyBorder="1" applyAlignment="1" applyProtection="1">
      <alignment horizontal="right"/>
    </xf>
    <xf numFmtId="169" fontId="30" fillId="9" borderId="22" xfId="1" applyNumberFormat="1" applyFont="1" applyFill="1" applyBorder="1" applyProtection="1"/>
    <xf numFmtId="0" fontId="23" fillId="5" borderId="17" xfId="0" applyNumberFormat="1" applyFont="1" applyFill="1" applyBorder="1" applyAlignment="1" applyProtection="1">
      <alignment horizontal="center"/>
      <protection locked="0"/>
    </xf>
    <xf numFmtId="1" fontId="23" fillId="5" borderId="17" xfId="0" applyNumberFormat="1" applyFont="1" applyFill="1" applyBorder="1" applyAlignment="1" applyProtection="1">
      <alignment horizontal="center"/>
      <protection locked="0"/>
    </xf>
    <xf numFmtId="189" fontId="23" fillId="0" borderId="17" xfId="0" applyNumberFormat="1" applyFont="1" applyFill="1" applyBorder="1" applyAlignment="1" applyProtection="1">
      <alignment horizontal="center"/>
    </xf>
    <xf numFmtId="0" fontId="23" fillId="9" borderId="17" xfId="0" applyFont="1" applyFill="1" applyBorder="1" applyAlignment="1" applyProtection="1">
      <alignment horizontal="left" indent="1"/>
    </xf>
    <xf numFmtId="10" fontId="23" fillId="9" borderId="17" xfId="0" applyNumberFormat="1" applyFont="1" applyFill="1" applyBorder="1" applyAlignment="1" applyProtection="1">
      <alignment horizontal="left" indent="1"/>
    </xf>
    <xf numFmtId="0" fontId="23" fillId="9" borderId="17" xfId="0" applyNumberFormat="1" applyFont="1" applyFill="1" applyBorder="1" applyAlignment="1" applyProtection="1">
      <alignment horizontal="left" indent="1"/>
    </xf>
    <xf numFmtId="5" fontId="23" fillId="0" borderId="35" xfId="0" applyNumberFormat="1" applyFont="1" applyFill="1" applyBorder="1" applyAlignment="1" applyProtection="1">
      <alignment horizontal="right"/>
    </xf>
    <xf numFmtId="0" fontId="23" fillId="0" borderId="35" xfId="0" applyFont="1" applyFill="1" applyBorder="1" applyAlignment="1" applyProtection="1">
      <alignment horizontal="center"/>
    </xf>
    <xf numFmtId="10" fontId="25" fillId="9" borderId="71" xfId="0" applyNumberFormat="1" applyFont="1" applyFill="1" applyBorder="1" applyAlignment="1" applyProtection="1">
      <alignment horizontal="center"/>
    </xf>
    <xf numFmtId="9" fontId="25" fillId="9" borderId="71" xfId="0" applyNumberFormat="1" applyFont="1" applyFill="1" applyBorder="1" applyAlignment="1" applyProtection="1">
      <alignment horizontal="left"/>
    </xf>
    <xf numFmtId="0" fontId="25" fillId="9" borderId="71" xfId="0" applyFont="1" applyFill="1" applyBorder="1" applyProtection="1"/>
    <xf numFmtId="10" fontId="24" fillId="9" borderId="0" xfId="0" applyNumberFormat="1" applyFont="1" applyFill="1" applyBorder="1" applyAlignment="1" applyProtection="1">
      <alignment horizontal="right"/>
    </xf>
    <xf numFmtId="0" fontId="25" fillId="0" borderId="17" xfId="0" applyFont="1" applyFill="1" applyBorder="1" applyAlignment="1" applyProtection="1">
      <alignment horizontal="center" vertical="center" wrapText="1"/>
    </xf>
    <xf numFmtId="0" fontId="25" fillId="0" borderId="17" xfId="4" applyFont="1" applyFill="1" applyBorder="1" applyAlignment="1" applyProtection="1">
      <alignment horizontal="center" vertical="center" wrapText="1"/>
    </xf>
    <xf numFmtId="0" fontId="25" fillId="0" borderId="17" xfId="0" applyFont="1" applyBorder="1" applyAlignment="1" applyProtection="1">
      <alignment horizontal="center" vertical="center" wrapText="1"/>
    </xf>
    <xf numFmtId="3" fontId="23" fillId="5" borderId="17" xfId="0" applyNumberFormat="1" applyFont="1" applyFill="1" applyBorder="1" applyAlignment="1" applyProtection="1">
      <alignment horizontal="right" indent="3"/>
      <protection locked="0"/>
    </xf>
    <xf numFmtId="3" fontId="23" fillId="0" borderId="17" xfId="0" applyNumberFormat="1" applyFont="1" applyFill="1" applyBorder="1" applyAlignment="1" applyProtection="1">
      <alignment horizontal="right" indent="3"/>
    </xf>
    <xf numFmtId="3" fontId="23" fillId="9" borderId="0" xfId="0" applyNumberFormat="1" applyFont="1" applyFill="1" applyBorder="1" applyAlignment="1" applyProtection="1">
      <alignment horizontal="right" indent="3"/>
    </xf>
    <xf numFmtId="0" fontId="25" fillId="0" borderId="122" xfId="0" applyFont="1" applyFill="1" applyBorder="1" applyAlignment="1" applyProtection="1">
      <alignment horizontal="left" indent="1"/>
    </xf>
    <xf numFmtId="0" fontId="25" fillId="0" borderId="119" xfId="0" applyFont="1" applyFill="1" applyBorder="1" applyAlignment="1" applyProtection="1">
      <alignment horizontal="left"/>
    </xf>
    <xf numFmtId="0" fontId="23" fillId="0" borderId="119" xfId="0" applyFont="1" applyFill="1" applyBorder="1" applyAlignment="1" applyProtection="1">
      <alignment horizontal="centerContinuous"/>
    </xf>
    <xf numFmtId="168" fontId="23" fillId="0" borderId="119" xfId="0" applyNumberFormat="1" applyFont="1" applyFill="1" applyBorder="1" applyAlignment="1" applyProtection="1">
      <alignment horizontal="centerContinuous"/>
    </xf>
    <xf numFmtId="3" fontId="25" fillId="0" borderId="119" xfId="0" applyNumberFormat="1" applyFont="1" applyFill="1" applyBorder="1" applyProtection="1"/>
    <xf numFmtId="0" fontId="23" fillId="0" borderId="123" xfId="0" applyFont="1" applyFill="1" applyBorder="1" applyProtection="1"/>
    <xf numFmtId="0" fontId="23" fillId="0" borderId="30" xfId="0" applyFont="1" applyFill="1" applyBorder="1" applyProtection="1"/>
    <xf numFmtId="3" fontId="23" fillId="0" borderId="35" xfId="0" applyNumberFormat="1" applyFont="1" applyFill="1" applyBorder="1" applyAlignment="1" applyProtection="1">
      <alignment horizontal="center" wrapText="1"/>
    </xf>
    <xf numFmtId="0" fontId="25" fillId="0" borderId="30" xfId="0" applyFont="1" applyFill="1" applyBorder="1" applyAlignment="1" applyProtection="1">
      <alignment horizontal="right"/>
    </xf>
    <xf numFmtId="0" fontId="25" fillId="0" borderId="124" xfId="0" applyFont="1" applyFill="1" applyBorder="1" applyAlignment="1" applyProtection="1">
      <alignment horizontal="right"/>
    </xf>
    <xf numFmtId="0" fontId="25" fillId="0" borderId="61" xfId="0" applyFont="1" applyFill="1" applyBorder="1" applyAlignment="1" applyProtection="1">
      <alignment horizontal="right" indent="2"/>
    </xf>
    <xf numFmtId="164" fontId="25" fillId="0" borderId="61" xfId="0" applyNumberFormat="1" applyFont="1" applyFill="1" applyBorder="1" applyAlignment="1" applyProtection="1">
      <alignment horizontal="right" indent="2"/>
    </xf>
    <xf numFmtId="0" fontId="25" fillId="0" borderId="119" xfId="0" applyFont="1" applyFill="1" applyBorder="1" applyAlignment="1" applyProtection="1">
      <alignment horizontal="right" indent="2"/>
    </xf>
    <xf numFmtId="0" fontId="23" fillId="0" borderId="119" xfId="0" applyFont="1" applyFill="1" applyBorder="1" applyAlignment="1" applyProtection="1">
      <alignment horizontal="right" indent="1"/>
    </xf>
    <xf numFmtId="0" fontId="23" fillId="0" borderId="119" xfId="0" applyFont="1" applyFill="1" applyBorder="1" applyAlignment="1" applyProtection="1">
      <alignment horizontal="right" indent="2"/>
    </xf>
    <xf numFmtId="0" fontId="38" fillId="0" borderId="119" xfId="0" applyFont="1" applyFill="1" applyBorder="1" applyAlignment="1" applyProtection="1">
      <alignment horizontal="right" wrapText="1" indent="2"/>
    </xf>
    <xf numFmtId="0" fontId="38" fillId="0" borderId="123" xfId="0" applyFont="1" applyFill="1" applyBorder="1" applyAlignment="1" applyProtection="1">
      <alignment horizontal="right" wrapText="1" indent="2"/>
    </xf>
    <xf numFmtId="0" fontId="25" fillId="0" borderId="153" xfId="0" applyFont="1" applyFill="1" applyBorder="1" applyAlignment="1" applyProtection="1">
      <alignment horizontal="left"/>
    </xf>
    <xf numFmtId="0" fontId="38" fillId="0" borderId="65" xfId="0" applyFont="1" applyFill="1" applyBorder="1" applyAlignment="1" applyProtection="1">
      <alignment horizontal="right" wrapText="1" indent="2"/>
    </xf>
    <xf numFmtId="0" fontId="23" fillId="0" borderId="124" xfId="0" applyFont="1" applyFill="1" applyBorder="1" applyAlignment="1" applyProtection="1">
      <alignment horizontal="right"/>
    </xf>
    <xf numFmtId="3" fontId="23" fillId="5" borderId="61" xfId="0" applyNumberFormat="1" applyFont="1" applyFill="1" applyBorder="1" applyAlignment="1" applyProtection="1">
      <alignment horizontal="right" indent="2"/>
      <protection locked="0"/>
    </xf>
    <xf numFmtId="168" fontId="23" fillId="0" borderId="61" xfId="0" applyNumberFormat="1" applyFont="1" applyFill="1" applyBorder="1" applyAlignment="1" applyProtection="1">
      <alignment horizontal="right" indent="1"/>
    </xf>
    <xf numFmtId="168" fontId="23" fillId="0" borderId="61" xfId="0" applyNumberFormat="1" applyFont="1" applyFill="1" applyBorder="1" applyAlignment="1" applyProtection="1">
      <alignment horizontal="right" indent="2"/>
    </xf>
    <xf numFmtId="0" fontId="23" fillId="0" borderId="61" xfId="0" applyFont="1" applyFill="1" applyBorder="1" applyAlignment="1" applyProtection="1">
      <alignment horizontal="right" indent="2"/>
    </xf>
    <xf numFmtId="3" fontId="25" fillId="0" borderId="60" xfId="0" applyNumberFormat="1" applyFont="1" applyFill="1" applyBorder="1" applyAlignment="1" applyProtection="1">
      <alignment horizontal="right" indent="2"/>
    </xf>
    <xf numFmtId="0" fontId="25" fillId="0" borderId="122" xfId="0" applyFont="1" applyFill="1" applyBorder="1" applyProtection="1"/>
    <xf numFmtId="0" fontId="25" fillId="0" borderId="119" xfId="0" applyFont="1" applyFill="1" applyBorder="1" applyProtection="1"/>
    <xf numFmtId="37" fontId="23" fillId="0" borderId="119" xfId="0" applyNumberFormat="1" applyFont="1" applyFill="1" applyBorder="1" applyProtection="1"/>
    <xf numFmtId="37" fontId="23" fillId="0" borderId="123" xfId="0" applyNumberFormat="1" applyFont="1" applyFill="1" applyBorder="1" applyProtection="1"/>
    <xf numFmtId="0" fontId="23" fillId="0" borderId="30" xfId="0" applyFont="1" applyFill="1" applyBorder="1" applyAlignment="1" applyProtection="1">
      <alignment wrapText="1"/>
    </xf>
    <xf numFmtId="0" fontId="23" fillId="0" borderId="35" xfId="0" applyFont="1" applyFill="1" applyBorder="1" applyAlignment="1" applyProtection="1">
      <alignment horizontal="center" wrapText="1"/>
    </xf>
    <xf numFmtId="5" fontId="23" fillId="0" borderId="35" xfId="0" applyNumberFormat="1" applyFont="1" applyFill="1" applyBorder="1" applyAlignment="1" applyProtection="1">
      <alignment horizontal="center"/>
    </xf>
    <xf numFmtId="0" fontId="23" fillId="0" borderId="30" xfId="0" applyFont="1" applyFill="1" applyBorder="1" applyAlignment="1" applyProtection="1">
      <alignment horizontal="right" wrapText="1"/>
    </xf>
    <xf numFmtId="0" fontId="25" fillId="0" borderId="35" xfId="0" applyFont="1" applyBorder="1" applyAlignment="1" applyProtection="1">
      <alignment horizontal="center"/>
    </xf>
    <xf numFmtId="168" fontId="23" fillId="5" borderId="35" xfId="0" applyNumberFormat="1" applyFont="1" applyFill="1" applyBorder="1" applyProtection="1">
      <protection locked="0"/>
    </xf>
    <xf numFmtId="0" fontId="23" fillId="9" borderId="30" xfId="0" applyFont="1" applyFill="1" applyBorder="1" applyAlignment="1" applyProtection="1">
      <alignment horizontal="right"/>
    </xf>
    <xf numFmtId="41" fontId="38" fillId="2" borderId="42" xfId="17" applyNumberFormat="1" applyFont="1" applyFill="1" applyBorder="1" applyAlignment="1">
      <alignment horizontal="right" vertical="center"/>
    </xf>
    <xf numFmtId="5" fontId="41" fillId="0" borderId="85" xfId="17" applyNumberFormat="1" applyFont="1" applyFill="1" applyBorder="1" applyAlignment="1" applyProtection="1">
      <alignment horizontal="right" vertical="center"/>
    </xf>
    <xf numFmtId="3" fontId="51" fillId="0" borderId="161" xfId="11" applyFont="1" applyFill="1" applyBorder="1" applyAlignment="1" applyProtection="1">
      <alignment horizontal="left" vertical="center"/>
    </xf>
    <xf numFmtId="3" fontId="51" fillId="0" borderId="154" xfId="11" applyFont="1" applyFill="1" applyBorder="1" applyAlignment="1" applyProtection="1">
      <alignment horizontal="left" vertical="center"/>
    </xf>
    <xf numFmtId="166" fontId="58" fillId="0" borderId="161" xfId="20" applyNumberFormat="1" applyFont="1" applyFill="1" applyBorder="1" applyAlignment="1">
      <alignment horizontal="center" vertical="center"/>
    </xf>
    <xf numFmtId="41" fontId="38" fillId="2" borderId="154" xfId="17" applyNumberFormat="1" applyFont="1" applyFill="1" applyBorder="1" applyAlignment="1" applyProtection="1">
      <alignment horizontal="right" vertical="center"/>
    </xf>
    <xf numFmtId="41" fontId="59" fillId="2" borderId="161" xfId="17" applyNumberFormat="1" applyFont="1" applyFill="1" applyBorder="1" applyAlignment="1">
      <alignment horizontal="right" vertical="center"/>
    </xf>
    <xf numFmtId="41" fontId="38" fillId="2" borderId="162" xfId="17" applyNumberFormat="1" applyFont="1" applyFill="1" applyBorder="1" applyAlignment="1">
      <alignment horizontal="right" vertical="center"/>
    </xf>
    <xf numFmtId="3" fontId="50" fillId="2" borderId="2" xfId="11" applyFont="1" applyFill="1" applyBorder="1" applyAlignment="1">
      <alignment vertical="center"/>
    </xf>
    <xf numFmtId="37" fontId="38" fillId="2" borderId="1" xfId="11" applyNumberFormat="1" applyFont="1" applyFill="1" applyBorder="1" applyAlignment="1">
      <alignment horizontal="left" vertical="center"/>
    </xf>
    <xf numFmtId="3" fontId="38" fillId="2" borderId="2" xfId="11" applyFont="1" applyFill="1" applyBorder="1" applyAlignment="1">
      <alignment horizontal="left" vertical="center" indent="1"/>
    </xf>
    <xf numFmtId="41" fontId="38" fillId="2" borderId="1" xfId="17" applyNumberFormat="1" applyFont="1" applyFill="1" applyBorder="1" applyAlignment="1" applyProtection="1">
      <alignment horizontal="right" vertical="center"/>
    </xf>
    <xf numFmtId="3" fontId="38" fillId="0" borderId="2" xfId="11" applyFont="1" applyFill="1" applyBorder="1" applyAlignment="1">
      <alignment horizontal="left" vertical="center" indent="1"/>
    </xf>
    <xf numFmtId="3" fontId="51" fillId="2" borderId="44" xfId="11" applyFont="1" applyFill="1" applyBorder="1" applyAlignment="1">
      <alignment horizontal="left" vertical="center" indent="3"/>
    </xf>
    <xf numFmtId="41" fontId="41" fillId="2" borderId="70" xfId="17" applyNumberFormat="1" applyFont="1" applyFill="1" applyBorder="1" applyAlignment="1" applyProtection="1">
      <alignment horizontal="right" vertical="center"/>
    </xf>
    <xf numFmtId="41" fontId="41" fillId="2" borderId="1" xfId="17" applyNumberFormat="1" applyFont="1" applyFill="1" applyBorder="1" applyAlignment="1" applyProtection="1">
      <alignment horizontal="right" vertical="center"/>
    </xf>
    <xf numFmtId="41" fontId="41" fillId="2" borderId="70" xfId="17" applyNumberFormat="1" applyFont="1" applyFill="1" applyBorder="1" applyAlignment="1">
      <alignment horizontal="right" vertical="center"/>
    </xf>
    <xf numFmtId="41" fontId="59" fillId="2" borderId="70" xfId="17" applyNumberFormat="1" applyFont="1" applyFill="1" applyBorder="1" applyAlignment="1">
      <alignment horizontal="right" vertical="center"/>
    </xf>
    <xf numFmtId="3" fontId="50" fillId="2" borderId="62" xfId="11" applyFont="1" applyFill="1" applyBorder="1" applyAlignment="1">
      <alignment horizontal="left"/>
    </xf>
    <xf numFmtId="41" fontId="38" fillId="2" borderId="1" xfId="17" applyNumberFormat="1" applyFont="1" applyFill="1" applyBorder="1" applyAlignment="1">
      <alignment horizontal="right" vertical="center"/>
    </xf>
    <xf numFmtId="3" fontId="38" fillId="2" borderId="2" xfId="11" applyFont="1" applyFill="1" applyBorder="1" applyAlignment="1" applyProtection="1">
      <alignment horizontal="left" vertical="center" indent="1"/>
    </xf>
    <xf numFmtId="3" fontId="38" fillId="0" borderId="2" xfId="11" applyFont="1" applyFill="1" applyBorder="1" applyAlignment="1" applyProtection="1">
      <alignment horizontal="left" vertical="center" indent="1"/>
    </xf>
    <xf numFmtId="3" fontId="80" fillId="2" borderId="44" xfId="11" applyFont="1" applyFill="1" applyBorder="1" applyAlignment="1">
      <alignment horizontal="left" vertical="center" indent="3"/>
    </xf>
    <xf numFmtId="0" fontId="41" fillId="2" borderId="155" xfId="17" applyNumberFormat="1" applyFont="1" applyFill="1" applyBorder="1" applyAlignment="1" applyProtection="1">
      <alignment horizontal="left" vertical="center"/>
    </xf>
    <xf numFmtId="41" fontId="41" fillId="0" borderId="110" xfId="17" applyNumberFormat="1" applyFont="1" applyFill="1" applyBorder="1" applyAlignment="1" applyProtection="1">
      <alignment horizontal="right" vertical="center"/>
    </xf>
    <xf numFmtId="3" fontId="50" fillId="0" borderId="62" xfId="11" applyFont="1" applyFill="1" applyBorder="1" applyAlignment="1">
      <alignment horizontal="left" vertical="center"/>
    </xf>
    <xf numFmtId="3" fontId="50" fillId="0" borderId="42" xfId="11" applyFont="1" applyFill="1" applyBorder="1" applyAlignment="1">
      <alignment horizontal="left" vertical="center"/>
    </xf>
    <xf numFmtId="41" fontId="59" fillId="2" borderId="95" xfId="17" applyNumberFormat="1" applyFont="1" applyFill="1" applyBorder="1" applyAlignment="1">
      <alignment horizontal="right" vertical="center"/>
    </xf>
    <xf numFmtId="41" fontId="59" fillId="2" borderId="162" xfId="17" applyNumberFormat="1" applyFont="1" applyFill="1" applyBorder="1" applyAlignment="1">
      <alignment horizontal="right" vertical="center"/>
    </xf>
    <xf numFmtId="41" fontId="59" fillId="2" borderId="42" xfId="17" applyNumberFormat="1" applyFont="1" applyFill="1" applyBorder="1" applyAlignment="1">
      <alignment horizontal="right" vertical="center"/>
    </xf>
    <xf numFmtId="41" fontId="59" fillId="2" borderId="66" xfId="17" applyNumberFormat="1" applyFont="1" applyFill="1" applyBorder="1" applyAlignment="1">
      <alignment horizontal="right" vertical="center"/>
    </xf>
    <xf numFmtId="3" fontId="50" fillId="2" borderId="2" xfId="11" quotePrefix="1" applyFont="1" applyFill="1" applyBorder="1" applyAlignment="1" applyProtection="1">
      <alignment horizontal="left" vertical="center"/>
    </xf>
    <xf numFmtId="3" fontId="50" fillId="2" borderId="0" xfId="11" quotePrefix="1" applyFont="1" applyFill="1" applyBorder="1" applyAlignment="1" applyProtection="1">
      <alignment horizontal="left" vertical="center"/>
    </xf>
    <xf numFmtId="41" fontId="50" fillId="2" borderId="93" xfId="17" applyNumberFormat="1" applyFont="1" applyFill="1" applyBorder="1" applyAlignment="1" applyProtection="1">
      <alignment horizontal="right" vertical="center"/>
    </xf>
    <xf numFmtId="41" fontId="50" fillId="2" borderId="154" xfId="17" applyNumberFormat="1" applyFont="1" applyFill="1" applyBorder="1" applyAlignment="1" applyProtection="1">
      <alignment horizontal="center" vertical="center"/>
    </xf>
    <xf numFmtId="41" fontId="50" fillId="2" borderId="0" xfId="17" applyNumberFormat="1" applyFont="1" applyFill="1" applyBorder="1" applyAlignment="1" applyProtection="1">
      <alignment horizontal="right" vertical="center"/>
    </xf>
    <xf numFmtId="41" fontId="38" fillId="2" borderId="0" xfId="17" applyNumberFormat="1" applyFont="1" applyFill="1" applyBorder="1" applyAlignment="1">
      <alignment horizontal="left" vertical="center"/>
    </xf>
    <xf numFmtId="0" fontId="38" fillId="0" borderId="2" xfId="11" applyNumberFormat="1" applyFont="1" applyFill="1" applyBorder="1" applyAlignment="1" applyProtection="1">
      <alignment horizontal="left" vertical="center" indent="1"/>
    </xf>
    <xf numFmtId="5" fontId="41" fillId="2" borderId="93" xfId="17" applyNumberFormat="1" applyFont="1" applyFill="1" applyBorder="1" applyAlignment="1" applyProtection="1">
      <alignment horizontal="right" vertical="center"/>
    </xf>
    <xf numFmtId="3" fontId="50" fillId="2" borderId="155" xfId="11" applyFont="1" applyFill="1" applyBorder="1" applyAlignment="1">
      <alignment horizontal="left" vertical="center"/>
    </xf>
    <xf numFmtId="3" fontId="50" fillId="2" borderId="87" xfId="11" applyFont="1" applyFill="1" applyBorder="1" applyAlignment="1">
      <alignment horizontal="left" vertical="center"/>
    </xf>
    <xf numFmtId="3" fontId="38" fillId="2" borderId="87" xfId="11" applyFont="1" applyFill="1" applyBorder="1" applyAlignment="1">
      <alignment horizontal="left" vertical="center"/>
    </xf>
    <xf numFmtId="3" fontId="50" fillId="0" borderId="154" xfId="11" applyFont="1" applyFill="1" applyBorder="1" applyAlignment="1" applyProtection="1">
      <alignment horizontal="center" vertical="center"/>
    </xf>
    <xf numFmtId="3" fontId="51" fillId="9" borderId="44" xfId="11" applyFont="1" applyFill="1" applyBorder="1" applyAlignment="1" applyProtection="1">
      <alignment horizontal="right" vertical="center"/>
    </xf>
    <xf numFmtId="3" fontId="51" fillId="9" borderId="69" xfId="11" applyFont="1" applyFill="1" applyBorder="1" applyAlignment="1" applyProtection="1">
      <alignment horizontal="right" vertical="center"/>
    </xf>
    <xf numFmtId="3" fontId="38" fillId="9" borderId="69" xfId="11" applyFont="1" applyFill="1" applyBorder="1" applyAlignment="1" applyProtection="1">
      <alignment horizontal="left" vertical="center"/>
    </xf>
    <xf numFmtId="10" fontId="79" fillId="9" borderId="161" xfId="15" applyNumberFormat="1" applyFont="1" applyFill="1" applyBorder="1" applyAlignment="1" applyProtection="1">
      <alignment horizontal="left" vertical="center"/>
    </xf>
    <xf numFmtId="41" fontId="38" fillId="9" borderId="69" xfId="17" applyNumberFormat="1" applyFont="1" applyFill="1" applyBorder="1" applyAlignment="1" applyProtection="1">
      <alignment horizontal="right" vertical="center"/>
    </xf>
    <xf numFmtId="41" fontId="38" fillId="9" borderId="70" xfId="17" applyNumberFormat="1" applyFont="1" applyFill="1" applyBorder="1" applyAlignment="1" applyProtection="1">
      <alignment horizontal="right" vertical="center"/>
    </xf>
    <xf numFmtId="41" fontId="41" fillId="0" borderId="131" xfId="17" applyNumberFormat="1" applyFont="1" applyFill="1" applyBorder="1" applyAlignment="1" applyProtection="1">
      <alignment horizontal="right" vertical="center"/>
    </xf>
    <xf numFmtId="41" fontId="59" fillId="2" borderId="0" xfId="17" applyNumberFormat="1" applyFont="1" applyFill="1" applyBorder="1" applyAlignment="1" applyProtection="1">
      <alignment vertical="center"/>
    </xf>
    <xf numFmtId="41" fontId="41" fillId="2" borderId="154" xfId="17" applyNumberFormat="1" applyFont="1" applyFill="1" applyBorder="1" applyAlignment="1" applyProtection="1">
      <alignment horizontal="right" vertical="center"/>
    </xf>
    <xf numFmtId="41" fontId="38" fillId="9" borderId="44" xfId="17" applyNumberFormat="1" applyFont="1" applyFill="1" applyBorder="1" applyAlignment="1" applyProtection="1">
      <alignment horizontal="right" vertical="center"/>
    </xf>
    <xf numFmtId="41" fontId="38" fillId="9" borderId="161" xfId="17" applyNumberFormat="1" applyFont="1" applyFill="1" applyBorder="1" applyAlignment="1" applyProtection="1">
      <alignment horizontal="right" vertical="center"/>
    </xf>
    <xf numFmtId="41" fontId="59" fillId="2" borderId="165" xfId="17" applyNumberFormat="1" applyFont="1" applyFill="1" applyBorder="1" applyAlignment="1" applyProtection="1">
      <alignment vertical="center"/>
    </xf>
    <xf numFmtId="41" fontId="59" fillId="2" borderId="166" xfId="17" applyNumberFormat="1" applyFont="1" applyFill="1" applyBorder="1" applyAlignment="1" applyProtection="1">
      <alignment vertical="center"/>
    </xf>
    <xf numFmtId="41" fontId="41" fillId="2" borderId="167" xfId="17" applyNumberFormat="1" applyFont="1" applyFill="1" applyBorder="1" applyAlignment="1" applyProtection="1">
      <alignment horizontal="right" vertical="center"/>
    </xf>
    <xf numFmtId="3" fontId="50" fillId="9" borderId="168" xfId="11" applyFont="1" applyFill="1" applyBorder="1" applyAlignment="1">
      <alignment horizontal="left" vertical="center"/>
    </xf>
    <xf numFmtId="3" fontId="50" fillId="9" borderId="169" xfId="11" applyFont="1" applyFill="1" applyBorder="1" applyAlignment="1">
      <alignment horizontal="left" vertical="center"/>
    </xf>
    <xf numFmtId="3" fontId="38" fillId="9" borderId="169" xfId="11" applyFont="1" applyFill="1" applyBorder="1" applyAlignment="1">
      <alignment horizontal="left" vertical="center"/>
    </xf>
    <xf numFmtId="3" fontId="38" fillId="9" borderId="170" xfId="11" applyFont="1" applyFill="1" applyBorder="1" applyAlignment="1" applyProtection="1">
      <alignment horizontal="left" vertical="center"/>
    </xf>
    <xf numFmtId="41" fontId="41" fillId="9" borderId="169" xfId="11" applyNumberFormat="1" applyFont="1" applyFill="1" applyBorder="1" applyAlignment="1">
      <alignment horizontal="right" vertical="center"/>
    </xf>
    <xf numFmtId="41" fontId="41" fillId="9" borderId="171" xfId="11" applyNumberFormat="1" applyFont="1" applyFill="1" applyBorder="1" applyAlignment="1">
      <alignment horizontal="right" vertical="center"/>
    </xf>
    <xf numFmtId="41" fontId="59" fillId="2" borderId="44" xfId="17" applyNumberFormat="1" applyFont="1" applyFill="1" applyBorder="1" applyAlignment="1" applyProtection="1">
      <alignment vertical="center"/>
    </xf>
    <xf numFmtId="41" fontId="59" fillId="2" borderId="69" xfId="17" applyNumberFormat="1" applyFont="1" applyFill="1" applyBorder="1" applyAlignment="1" applyProtection="1">
      <alignment vertical="center"/>
    </xf>
    <xf numFmtId="4" fontId="41" fillId="2" borderId="69" xfId="17" applyNumberFormat="1" applyFont="1" applyFill="1" applyBorder="1" applyAlignment="1" applyProtection="1">
      <alignment horizontal="right" vertical="center"/>
    </xf>
    <xf numFmtId="4" fontId="41" fillId="2" borderId="70" xfId="17" applyNumberFormat="1" applyFont="1" applyFill="1" applyBorder="1" applyAlignment="1" applyProtection="1">
      <alignment horizontal="right" vertical="center"/>
    </xf>
    <xf numFmtId="41" fontId="59" fillId="2" borderId="172" xfId="17" applyNumberFormat="1" applyFont="1" applyFill="1" applyBorder="1" applyAlignment="1" applyProtection="1">
      <alignment vertical="center"/>
    </xf>
    <xf numFmtId="41" fontId="59" fillId="2" borderId="173" xfId="17" applyNumberFormat="1" applyFont="1" applyFill="1" applyBorder="1" applyAlignment="1" applyProtection="1">
      <alignment vertical="center"/>
    </xf>
    <xf numFmtId="4" fontId="41" fillId="2" borderId="173" xfId="17" applyNumberFormat="1" applyFont="1" applyFill="1" applyBorder="1" applyAlignment="1" applyProtection="1">
      <alignment horizontal="right" vertical="center"/>
    </xf>
    <xf numFmtId="4" fontId="41" fillId="2" borderId="175" xfId="17" applyNumberFormat="1" applyFont="1" applyFill="1" applyBorder="1" applyAlignment="1" applyProtection="1">
      <alignment horizontal="right" vertical="center"/>
    </xf>
    <xf numFmtId="41" fontId="59" fillId="2" borderId="0" xfId="17" applyNumberFormat="1" applyFont="1" applyFill="1" applyBorder="1" applyAlignment="1" applyProtection="1">
      <alignment horizontal="right" vertical="center"/>
    </xf>
    <xf numFmtId="41" fontId="59" fillId="2" borderId="1" xfId="17" applyNumberFormat="1" applyFont="1" applyFill="1" applyBorder="1" applyAlignment="1" applyProtection="1">
      <alignment horizontal="right" vertical="center"/>
    </xf>
    <xf numFmtId="3" fontId="80" fillId="2" borderId="62" xfId="11" applyFont="1" applyFill="1" applyBorder="1" applyAlignment="1">
      <alignment horizontal="left" vertical="center" indent="3"/>
    </xf>
    <xf numFmtId="41" fontId="59" fillId="2" borderId="176" xfId="17" applyNumberFormat="1" applyFont="1" applyFill="1" applyBorder="1" applyAlignment="1" applyProtection="1">
      <alignment horizontal="right" vertical="center"/>
    </xf>
    <xf numFmtId="3" fontId="50" fillId="17" borderId="63" xfId="11" applyFont="1" applyFill="1" applyBorder="1" applyAlignment="1">
      <alignment horizontal="center" vertical="center"/>
    </xf>
    <xf numFmtId="3" fontId="50" fillId="17" borderId="41" xfId="11" applyFont="1" applyFill="1" applyBorder="1" applyAlignment="1">
      <alignment horizontal="center" vertical="center"/>
    </xf>
    <xf numFmtId="3" fontId="50" fillId="17" borderId="163" xfId="11" applyFont="1" applyFill="1" applyBorder="1" applyAlignment="1">
      <alignment horizontal="center" vertical="center"/>
    </xf>
    <xf numFmtId="3" fontId="50" fillId="17" borderId="164" xfId="11" applyFont="1" applyFill="1" applyBorder="1" applyAlignment="1">
      <alignment horizontal="center" vertical="center"/>
    </xf>
    <xf numFmtId="3" fontId="50" fillId="17" borderId="94" xfId="11" applyFont="1" applyFill="1" applyBorder="1" applyAlignment="1">
      <alignment horizontal="center" vertical="center"/>
    </xf>
    <xf numFmtId="3" fontId="50" fillId="17" borderId="44" xfId="11" applyFont="1" applyFill="1" applyBorder="1" applyAlignment="1">
      <alignment horizontal="center" vertical="center"/>
    </xf>
    <xf numFmtId="3" fontId="50" fillId="17" borderId="161" xfId="11" applyFont="1" applyFill="1" applyBorder="1" applyAlignment="1">
      <alignment horizontal="center" vertical="center"/>
    </xf>
    <xf numFmtId="41" fontId="41" fillId="0" borderId="103" xfId="17" applyNumberFormat="1" applyFont="1" applyFill="1" applyBorder="1" applyAlignment="1" applyProtection="1">
      <alignment horizontal="right" vertical="center"/>
    </xf>
    <xf numFmtId="41" fontId="41" fillId="0" borderId="111" xfId="17" applyNumberFormat="1" applyFont="1" applyFill="1" applyBorder="1" applyAlignment="1" applyProtection="1">
      <alignment horizontal="right" vertical="center"/>
    </xf>
    <xf numFmtId="3" fontId="34" fillId="17" borderId="154" xfId="11" applyFont="1" applyFill="1" applyBorder="1" applyAlignment="1">
      <alignment horizontal="center" vertical="center"/>
    </xf>
    <xf numFmtId="166" fontId="51" fillId="17" borderId="154" xfId="20" applyNumberFormat="1" applyFont="1" applyFill="1" applyBorder="1" applyAlignment="1" applyProtection="1">
      <alignment horizontal="center" vertical="center"/>
    </xf>
    <xf numFmtId="166" fontId="58" fillId="17" borderId="154" xfId="20" applyNumberFormat="1" applyFont="1" applyFill="1" applyBorder="1" applyAlignment="1">
      <alignment horizontal="center" vertical="center"/>
    </xf>
    <xf numFmtId="166" fontId="51" fillId="17" borderId="154" xfId="20" applyNumberFormat="1" applyFont="1" applyFill="1" applyBorder="1" applyAlignment="1">
      <alignment horizontal="center" vertical="center"/>
    </xf>
    <xf numFmtId="0" fontId="48" fillId="9" borderId="0" xfId="0" applyFont="1" applyFill="1" applyBorder="1" applyAlignment="1">
      <alignment horizontal="center"/>
    </xf>
    <xf numFmtId="41" fontId="59" fillId="2" borderId="69" xfId="17" applyNumberFormat="1" applyFont="1" applyFill="1" applyBorder="1" applyAlignment="1" applyProtection="1">
      <alignment horizontal="right" vertical="center"/>
    </xf>
    <xf numFmtId="41" fontId="59" fillId="2" borderId="161" xfId="17" applyNumberFormat="1" applyFont="1" applyFill="1" applyBorder="1" applyAlignment="1" applyProtection="1">
      <alignment horizontal="right" vertical="center"/>
    </xf>
    <xf numFmtId="41" fontId="59" fillId="2" borderId="173" xfId="17" applyNumberFormat="1" applyFont="1" applyFill="1" applyBorder="1" applyAlignment="1" applyProtection="1">
      <alignment horizontal="right" vertical="center"/>
    </xf>
    <xf numFmtId="41" fontId="59" fillId="2" borderId="174" xfId="17" applyNumberFormat="1" applyFont="1" applyFill="1" applyBorder="1" applyAlignment="1" applyProtection="1">
      <alignment horizontal="right" vertical="center"/>
    </xf>
    <xf numFmtId="3" fontId="50" fillId="17" borderId="44" xfId="11" quotePrefix="1" applyFont="1" applyFill="1" applyBorder="1" applyAlignment="1">
      <alignment horizontal="right" vertical="center"/>
    </xf>
    <xf numFmtId="41" fontId="59" fillId="2" borderId="44" xfId="17" applyNumberFormat="1" applyFont="1" applyFill="1" applyBorder="1" applyAlignment="1" applyProtection="1">
      <alignment horizontal="left" vertical="center"/>
    </xf>
    <xf numFmtId="41" fontId="59" fillId="2" borderId="172" xfId="17" applyNumberFormat="1" applyFont="1" applyFill="1" applyBorder="1" applyAlignment="1" applyProtection="1">
      <alignment horizontal="left" vertical="center"/>
    </xf>
    <xf numFmtId="0" fontId="27" fillId="0" borderId="0" xfId="0" applyFont="1" applyFill="1" applyAlignment="1" applyProtection="1">
      <alignment horizontal="left"/>
    </xf>
    <xf numFmtId="0" fontId="27" fillId="0" borderId="0" xfId="0" applyFont="1" applyFill="1" applyBorder="1" applyAlignment="1" applyProtection="1">
      <alignment horizontal="left"/>
    </xf>
    <xf numFmtId="0" fontId="30" fillId="0" borderId="0" xfId="0" applyFont="1" applyFill="1" applyProtection="1"/>
    <xf numFmtId="0" fontId="35" fillId="9" borderId="0" xfId="0" applyFont="1" applyFill="1" applyBorder="1" applyProtection="1"/>
    <xf numFmtId="0" fontId="35" fillId="9" borderId="0" xfId="0" applyFont="1" applyFill="1"/>
    <xf numFmtId="0" fontId="25" fillId="9" borderId="44" xfId="0" applyFont="1" applyFill="1" applyBorder="1" applyAlignment="1">
      <alignment horizontal="left"/>
    </xf>
    <xf numFmtId="0" fontId="25" fillId="9" borderId="69" xfId="0" applyFont="1" applyFill="1" applyBorder="1" applyAlignment="1">
      <alignment horizontal="left"/>
    </xf>
    <xf numFmtId="0" fontId="25" fillId="9" borderId="70" xfId="0" applyFont="1" applyFill="1" applyBorder="1" applyAlignment="1">
      <alignment horizontal="left"/>
    </xf>
    <xf numFmtId="0" fontId="25" fillId="9" borderId="0" xfId="0" applyFont="1" applyFill="1" applyBorder="1" applyAlignment="1">
      <alignment horizontal="left"/>
    </xf>
    <xf numFmtId="37" fontId="27" fillId="9" borderId="0" xfId="0" applyNumberFormat="1" applyFont="1" applyFill="1" applyAlignment="1" applyProtection="1"/>
    <xf numFmtId="37" fontId="27" fillId="9" borderId="0" xfId="0" applyNumberFormat="1" applyFont="1" applyFill="1" applyBorder="1" applyAlignment="1" applyProtection="1"/>
    <xf numFmtId="165" fontId="30" fillId="9" borderId="0" xfId="0" applyNumberFormat="1" applyFont="1" applyFill="1" applyProtection="1"/>
    <xf numFmtId="37" fontId="27" fillId="0" borderId="148" xfId="0" applyNumberFormat="1" applyFont="1" applyBorder="1" applyProtection="1"/>
    <xf numFmtId="37" fontId="27" fillId="0" borderId="149" xfId="0" applyNumberFormat="1" applyFont="1" applyBorder="1" applyProtection="1"/>
    <xf numFmtId="37" fontId="30" fillId="0" borderId="126" xfId="0" applyNumberFormat="1" applyFont="1" applyBorder="1" applyProtection="1"/>
    <xf numFmtId="5" fontId="30" fillId="9" borderId="127" xfId="0" applyNumberFormat="1" applyFont="1" applyFill="1" applyBorder="1" applyProtection="1"/>
    <xf numFmtId="168" fontId="30" fillId="9" borderId="0" xfId="0" applyNumberFormat="1" applyFont="1" applyFill="1" applyBorder="1" applyProtection="1"/>
    <xf numFmtId="2" fontId="23" fillId="9" borderId="0" xfId="0" applyNumberFormat="1" applyFont="1" applyFill="1"/>
    <xf numFmtId="37" fontId="30" fillId="0" borderId="144" xfId="0" applyNumberFormat="1" applyFont="1" applyBorder="1" applyAlignment="1" applyProtection="1">
      <alignment horizontal="left" indent="1"/>
    </xf>
    <xf numFmtId="37" fontId="30" fillId="0" borderId="85" xfId="0" applyNumberFormat="1" applyFont="1" applyBorder="1" applyAlignment="1" applyProtection="1">
      <alignment horizontal="left" indent="1"/>
    </xf>
    <xf numFmtId="37" fontId="30" fillId="0" borderId="80" xfId="0" applyNumberFormat="1" applyFont="1" applyBorder="1" applyProtection="1"/>
    <xf numFmtId="5" fontId="30" fillId="0" borderId="110" xfId="0" applyNumberFormat="1" applyFont="1" applyFill="1" applyBorder="1" applyProtection="1"/>
    <xf numFmtId="10" fontId="30" fillId="0" borderId="80" xfId="0" applyNumberFormat="1" applyFont="1" applyBorder="1" applyProtection="1"/>
    <xf numFmtId="37" fontId="23" fillId="9" borderId="0" xfId="0" applyNumberFormat="1" applyFont="1" applyFill="1"/>
    <xf numFmtId="37" fontId="30" fillId="0" borderId="144" xfId="0" applyNumberFormat="1" applyFont="1" applyFill="1" applyBorder="1" applyAlignment="1" applyProtection="1">
      <alignment horizontal="left" indent="1"/>
    </xf>
    <xf numFmtId="37" fontId="30" fillId="0" borderId="85" xfId="0" applyNumberFormat="1" applyFont="1" applyFill="1" applyBorder="1" applyAlignment="1" applyProtection="1">
      <alignment horizontal="left" indent="1"/>
    </xf>
    <xf numFmtId="10" fontId="35" fillId="0" borderId="80" xfId="0" applyNumberFormat="1" applyFont="1" applyBorder="1" applyProtection="1"/>
    <xf numFmtId="37" fontId="67" fillId="0" borderId="144" xfId="0" applyNumberFormat="1" applyFont="1" applyBorder="1" applyAlignment="1" applyProtection="1">
      <alignment horizontal="right" indent="1"/>
    </xf>
    <xf numFmtId="37" fontId="67" fillId="0" borderId="85" xfId="0" applyNumberFormat="1" applyFont="1" applyBorder="1" applyAlignment="1" applyProtection="1">
      <alignment horizontal="right" indent="1"/>
    </xf>
    <xf numFmtId="5" fontId="67" fillId="9" borderId="110" xfId="0" applyNumberFormat="1" applyFont="1" applyFill="1" applyBorder="1" applyProtection="1"/>
    <xf numFmtId="37" fontId="67" fillId="0" borderId="77" xfId="0" applyNumberFormat="1" applyFont="1" applyBorder="1" applyAlignment="1" applyProtection="1">
      <alignment horizontal="right" indent="1"/>
    </xf>
    <xf numFmtId="10" fontId="30" fillId="0" borderId="77" xfId="0" applyNumberFormat="1" applyFont="1" applyBorder="1" applyProtection="1"/>
    <xf numFmtId="37" fontId="31" fillId="0" borderId="145" xfId="0" applyNumberFormat="1" applyFont="1" applyFill="1" applyBorder="1" applyAlignment="1" applyProtection="1">
      <alignment horizontal="center"/>
    </xf>
    <xf numFmtId="5" fontId="67" fillId="9" borderId="0" xfId="0" applyNumberFormat="1" applyFont="1" applyFill="1" applyBorder="1" applyProtection="1"/>
    <xf numFmtId="37" fontId="27" fillId="0" borderId="144" xfId="0" applyNumberFormat="1" applyFont="1" applyBorder="1" applyAlignment="1" applyProtection="1">
      <alignment horizontal="left"/>
    </xf>
    <xf numFmtId="37" fontId="27" fillId="0" borderId="77" xfId="0" applyNumberFormat="1" applyFont="1" applyBorder="1" applyAlignment="1" applyProtection="1">
      <alignment horizontal="left"/>
    </xf>
    <xf numFmtId="5" fontId="30" fillId="9" borderId="0" xfId="0" applyNumberFormat="1" applyFont="1" applyFill="1" applyBorder="1" applyProtection="1"/>
    <xf numFmtId="37" fontId="30" fillId="0" borderId="144" xfId="0" applyNumberFormat="1" applyFont="1" applyBorder="1" applyAlignment="1" applyProtection="1">
      <alignment horizontal="left" indent="6"/>
    </xf>
    <xf numFmtId="37" fontId="30" fillId="0" borderId="85" xfId="0" applyNumberFormat="1" applyFont="1" applyBorder="1" applyAlignment="1" applyProtection="1">
      <alignment horizontal="left" indent="6"/>
    </xf>
    <xf numFmtId="9" fontId="23" fillId="0" borderId="80" xfId="9" applyFont="1" applyFill="1" applyBorder="1" applyAlignment="1">
      <alignment vertical="center"/>
    </xf>
    <xf numFmtId="5" fontId="30" fillId="9" borderId="110" xfId="0" applyNumberFormat="1" applyFont="1" applyFill="1" applyBorder="1" applyProtection="1"/>
    <xf numFmtId="37" fontId="30" fillId="0" borderId="144" xfId="0" applyNumberFormat="1" applyFont="1" applyFill="1" applyBorder="1" applyAlignment="1" applyProtection="1">
      <alignment horizontal="left" indent="6"/>
    </xf>
    <xf numFmtId="37" fontId="30" fillId="0" borderId="85" xfId="0" applyNumberFormat="1" applyFont="1" applyFill="1" applyBorder="1" applyAlignment="1" applyProtection="1">
      <alignment horizontal="left" indent="6"/>
    </xf>
    <xf numFmtId="0" fontId="67" fillId="0" borderId="144" xfId="0" applyFont="1" applyBorder="1" applyAlignment="1" applyProtection="1">
      <alignment horizontal="right" indent="1"/>
    </xf>
    <xf numFmtId="0" fontId="67" fillId="0" borderId="85" xfId="0" applyFont="1" applyBorder="1" applyAlignment="1" applyProtection="1">
      <alignment horizontal="right" indent="1"/>
    </xf>
    <xf numFmtId="39" fontId="67" fillId="0" borderId="80" xfId="0" applyNumberFormat="1" applyFont="1" applyBorder="1" applyProtection="1"/>
    <xf numFmtId="10" fontId="67" fillId="0" borderId="80" xfId="0" applyNumberFormat="1" applyFont="1" applyBorder="1" applyProtection="1"/>
    <xf numFmtId="37" fontId="27" fillId="0" borderId="144" xfId="0" applyNumberFormat="1" applyFont="1" applyBorder="1" applyAlignment="1" applyProtection="1">
      <alignment horizontal="right" indent="1"/>
    </xf>
    <xf numFmtId="37" fontId="27" fillId="0" borderId="85" xfId="0" applyNumberFormat="1" applyFont="1" applyBorder="1" applyAlignment="1" applyProtection="1">
      <alignment horizontal="right" indent="1"/>
    </xf>
    <xf numFmtId="39" fontId="30" fillId="0" borderId="80" xfId="0" applyNumberFormat="1" applyFont="1" applyBorder="1" applyAlignment="1" applyProtection="1">
      <alignment horizontal="left"/>
    </xf>
    <xf numFmtId="5" fontId="27" fillId="9" borderId="110" xfId="0" applyNumberFormat="1" applyFont="1" applyFill="1" applyBorder="1" applyAlignment="1" applyProtection="1">
      <alignment horizontal="right"/>
    </xf>
    <xf numFmtId="37" fontId="27" fillId="0" borderId="77" xfId="0" applyNumberFormat="1" applyFont="1" applyBorder="1" applyAlignment="1" applyProtection="1">
      <alignment horizontal="right" indent="1"/>
    </xf>
    <xf numFmtId="39" fontId="30" fillId="0" borderId="77" xfId="0" applyNumberFormat="1" applyFont="1" applyBorder="1" applyAlignment="1" applyProtection="1">
      <alignment horizontal="left"/>
    </xf>
    <xf numFmtId="5" fontId="27" fillId="9" borderId="145" xfId="0" applyNumberFormat="1" applyFont="1" applyFill="1" applyBorder="1" applyAlignment="1" applyProtection="1">
      <alignment horizontal="right"/>
    </xf>
    <xf numFmtId="37" fontId="27" fillId="0" borderId="109" xfId="0" applyNumberFormat="1" applyFont="1" applyBorder="1" applyProtection="1"/>
    <xf numFmtId="37" fontId="27" fillId="0" borderId="80" xfId="0" applyNumberFormat="1" applyFont="1" applyBorder="1" applyProtection="1"/>
    <xf numFmtId="5" fontId="27" fillId="0" borderId="110" xfId="0" applyNumberFormat="1" applyFont="1" applyFill="1" applyBorder="1" applyProtection="1"/>
    <xf numFmtId="37" fontId="27" fillId="0" borderId="128" xfId="0" applyNumberFormat="1" applyFont="1" applyBorder="1" applyAlignment="1" applyProtection="1">
      <alignment horizontal="left"/>
    </xf>
    <xf numFmtId="37" fontId="27" fillId="0" borderId="129" xfId="0" applyNumberFormat="1" applyFont="1" applyBorder="1" applyAlignment="1" applyProtection="1">
      <alignment horizontal="left"/>
    </xf>
    <xf numFmtId="0" fontId="23" fillId="0" borderId="129" xfId="0" applyFont="1" applyBorder="1"/>
    <xf numFmtId="5" fontId="27" fillId="9" borderId="130" xfId="0" applyNumberFormat="1" applyFont="1" applyFill="1" applyBorder="1" applyAlignment="1" applyProtection="1"/>
    <xf numFmtId="168" fontId="23" fillId="9" borderId="0" xfId="0" applyNumberFormat="1" applyFont="1" applyFill="1" applyBorder="1"/>
    <xf numFmtId="37" fontId="49" fillId="9" borderId="44" xfId="0" applyNumberFormat="1" applyFont="1" applyFill="1" applyBorder="1" applyAlignment="1" applyProtection="1"/>
    <xf numFmtId="37" fontId="49" fillId="9" borderId="69" xfId="0" applyNumberFormat="1" applyFont="1" applyFill="1" applyBorder="1" applyAlignment="1" applyProtection="1"/>
    <xf numFmtId="0" fontId="23" fillId="9" borderId="69" xfId="0" applyFont="1" applyFill="1" applyBorder="1"/>
    <xf numFmtId="37" fontId="27" fillId="9" borderId="69" xfId="0" applyNumberFormat="1" applyFont="1" applyFill="1" applyBorder="1" applyAlignment="1" applyProtection="1"/>
    <xf numFmtId="37" fontId="27" fillId="9" borderId="70" xfId="0" applyNumberFormat="1" applyFont="1" applyFill="1" applyBorder="1" applyAlignment="1" applyProtection="1"/>
    <xf numFmtId="0" fontId="90" fillId="9" borderId="0" xfId="0" applyFont="1" applyFill="1"/>
    <xf numFmtId="5" fontId="30" fillId="9" borderId="0" xfId="0" applyNumberFormat="1" applyFont="1" applyFill="1" applyProtection="1"/>
    <xf numFmtId="37" fontId="91" fillId="0" borderId="125" xfId="0" applyNumberFormat="1" applyFont="1" applyFill="1" applyBorder="1" applyAlignment="1" applyProtection="1">
      <alignment horizontal="right"/>
    </xf>
    <xf numFmtId="37" fontId="91" fillId="0" borderId="126" xfId="0" applyNumberFormat="1" applyFont="1" applyFill="1" applyBorder="1" applyAlignment="1" applyProtection="1">
      <alignment horizontal="right"/>
    </xf>
    <xf numFmtId="37" fontId="91" fillId="0" borderId="144" xfId="0" applyNumberFormat="1" applyFont="1" applyFill="1" applyBorder="1" applyAlignment="1" applyProtection="1">
      <alignment horizontal="right"/>
    </xf>
    <xf numFmtId="37" fontId="91" fillId="0" borderId="85" xfId="0" applyNumberFormat="1" applyFont="1" applyFill="1" applyBorder="1" applyAlignment="1" applyProtection="1">
      <alignment horizontal="right"/>
    </xf>
    <xf numFmtId="0" fontId="23" fillId="0" borderId="80" xfId="0" applyFont="1" applyFill="1" applyBorder="1" applyAlignment="1">
      <alignment horizontal="center"/>
    </xf>
    <xf numFmtId="0" fontId="23" fillId="9" borderId="110" xfId="0" applyFont="1" applyFill="1" applyBorder="1"/>
    <xf numFmtId="0" fontId="23" fillId="0" borderId="144" xfId="0" applyFont="1" applyBorder="1" applyAlignment="1">
      <alignment horizontal="right"/>
    </xf>
    <xf numFmtId="0" fontId="23" fillId="0" borderId="85" xfId="0" applyFont="1" applyBorder="1" applyAlignment="1">
      <alignment horizontal="right"/>
    </xf>
    <xf numFmtId="0" fontId="35" fillId="0" borderId="80" xfId="0" applyFont="1" applyFill="1" applyBorder="1"/>
    <xf numFmtId="169" fontId="30" fillId="9" borderId="0" xfId="7" applyNumberFormat="1" applyFont="1" applyFill="1" applyBorder="1" applyProtection="1"/>
    <xf numFmtId="0" fontId="23" fillId="0" borderId="77" xfId="0" applyFont="1" applyBorder="1" applyAlignment="1">
      <alignment horizontal="right"/>
    </xf>
    <xf numFmtId="0" fontId="35" fillId="0" borderId="77" xfId="0" applyFont="1" applyFill="1" applyBorder="1"/>
    <xf numFmtId="0" fontId="23" fillId="9" borderId="145" xfId="0" applyFont="1" applyFill="1" applyBorder="1"/>
    <xf numFmtId="10" fontId="52" fillId="0" borderId="80" xfId="5" applyNumberFormat="1" applyFont="1" applyFill="1" applyBorder="1" applyAlignment="1">
      <alignment horizontal="center"/>
    </xf>
    <xf numFmtId="0" fontId="52" fillId="0" borderId="80" xfId="0" applyFont="1" applyFill="1" applyBorder="1" applyAlignment="1">
      <alignment horizontal="center"/>
    </xf>
    <xf numFmtId="1" fontId="23" fillId="5" borderId="80" xfId="5" applyNumberFormat="1" applyFont="1" applyFill="1" applyBorder="1" applyAlignment="1" applyProtection="1">
      <alignment horizontal="center"/>
      <protection locked="0"/>
    </xf>
    <xf numFmtId="2" fontId="23" fillId="0" borderId="80" xfId="0" applyNumberFormat="1" applyFont="1" applyFill="1" applyBorder="1"/>
    <xf numFmtId="0" fontId="30" fillId="9" borderId="144" xfId="0" applyFont="1" applyFill="1" applyBorder="1" applyAlignment="1" applyProtection="1">
      <alignment horizontal="right"/>
    </xf>
    <xf numFmtId="0" fontId="30" fillId="9" borderId="85" xfId="0" applyFont="1" applyFill="1" applyBorder="1" applyAlignment="1" applyProtection="1">
      <alignment horizontal="right"/>
    </xf>
    <xf numFmtId="1" fontId="23" fillId="5" borderId="80" xfId="0" applyNumberFormat="1" applyFont="1" applyFill="1" applyBorder="1" applyAlignment="1" applyProtection="1">
      <alignment horizontal="center"/>
      <protection locked="0"/>
    </xf>
    <xf numFmtId="0" fontId="23" fillId="0" borderId="144" xfId="0" applyFont="1" applyFill="1" applyBorder="1" applyAlignment="1">
      <alignment horizontal="right"/>
    </xf>
    <xf numFmtId="0" fontId="25" fillId="0" borderId="85" xfId="0" applyFont="1" applyFill="1" applyBorder="1" applyAlignment="1">
      <alignment horizontal="right"/>
    </xf>
    <xf numFmtId="1" fontId="30" fillId="9" borderId="80" xfId="7" applyNumberFormat="1" applyFont="1" applyFill="1" applyBorder="1" applyAlignment="1" applyProtection="1">
      <alignment horizontal="center"/>
    </xf>
    <xf numFmtId="10" fontId="23" fillId="0" borderId="77" xfId="5" applyNumberFormat="1" applyFont="1" applyFill="1" applyBorder="1" applyAlignment="1">
      <alignment horizontal="center"/>
    </xf>
    <xf numFmtId="37" fontId="76" fillId="0" borderId="144" xfId="0" applyNumberFormat="1" applyFont="1" applyBorder="1" applyAlignment="1" applyProtection="1">
      <alignment horizontal="right" indent="2"/>
    </xf>
    <xf numFmtId="37" fontId="76" fillId="0" borderId="85" xfId="0" applyNumberFormat="1" applyFont="1" applyBorder="1" applyAlignment="1" applyProtection="1">
      <alignment horizontal="right" indent="2"/>
    </xf>
    <xf numFmtId="10" fontId="92" fillId="0" borderId="80" xfId="0" applyNumberFormat="1" applyFont="1" applyFill="1" applyBorder="1" applyAlignment="1" applyProtection="1">
      <alignment horizontal="center"/>
    </xf>
    <xf numFmtId="0" fontId="23" fillId="0" borderId="110" xfId="0" applyFont="1" applyFill="1" applyBorder="1"/>
    <xf numFmtId="37" fontId="30" fillId="0" borderId="144" xfId="0" applyNumberFormat="1" applyFont="1" applyBorder="1" applyAlignment="1" applyProtection="1">
      <alignment horizontal="right" indent="2"/>
    </xf>
    <xf numFmtId="37" fontId="30" fillId="0" borderId="85" xfId="0" applyNumberFormat="1" applyFont="1" applyBorder="1" applyAlignment="1" applyProtection="1">
      <alignment horizontal="right" indent="2"/>
    </xf>
    <xf numFmtId="49" fontId="63" fillId="0" borderId="80" xfId="0" applyNumberFormat="1" applyFont="1" applyFill="1" applyBorder="1" applyAlignment="1" applyProtection="1">
      <alignment horizontal="center"/>
    </xf>
    <xf numFmtId="37" fontId="76" fillId="0" borderId="144" xfId="0" applyNumberFormat="1" applyFont="1" applyFill="1" applyBorder="1" applyAlignment="1" applyProtection="1">
      <alignment horizontal="right"/>
    </xf>
    <xf numFmtId="37" fontId="76" fillId="0" borderId="85" xfId="0" applyNumberFormat="1" applyFont="1" applyFill="1" applyBorder="1" applyAlignment="1" applyProtection="1">
      <alignment horizontal="right"/>
    </xf>
    <xf numFmtId="0" fontId="23" fillId="0" borderId="146" xfId="0" applyFont="1" applyBorder="1" applyAlignment="1">
      <alignment horizontal="right"/>
    </xf>
    <xf numFmtId="0" fontId="23" fillId="0" borderId="147" xfId="0" applyFont="1" applyBorder="1" applyAlignment="1">
      <alignment horizontal="right"/>
    </xf>
    <xf numFmtId="0" fontId="35" fillId="0" borderId="129" xfId="0" applyFont="1" applyFill="1" applyBorder="1"/>
    <xf numFmtId="0" fontId="23" fillId="9" borderId="130" xfId="0" applyFont="1" applyFill="1" applyBorder="1"/>
    <xf numFmtId="37" fontId="49" fillId="9" borderId="159" xfId="0" applyNumberFormat="1" applyFont="1" applyFill="1" applyBorder="1" applyAlignment="1" applyProtection="1"/>
    <xf numFmtId="0" fontId="23" fillId="9" borderId="94" xfId="0" applyFont="1" applyFill="1" applyBorder="1"/>
    <xf numFmtId="37" fontId="27" fillId="9" borderId="94" xfId="0" applyNumberFormat="1" applyFont="1" applyFill="1" applyBorder="1" applyAlignment="1" applyProtection="1"/>
    <xf numFmtId="37" fontId="27" fillId="9" borderId="160" xfId="0" applyNumberFormat="1" applyFont="1" applyFill="1" applyBorder="1" applyAlignment="1" applyProtection="1"/>
    <xf numFmtId="37" fontId="91" fillId="0" borderId="158" xfId="0" applyNumberFormat="1" applyFont="1" applyFill="1" applyBorder="1" applyAlignment="1" applyProtection="1">
      <alignment horizontal="right"/>
    </xf>
    <xf numFmtId="37" fontId="91" fillId="0" borderId="105" xfId="0" applyNumberFormat="1" applyFont="1" applyFill="1" applyBorder="1" applyAlignment="1" applyProtection="1">
      <alignment horizontal="right"/>
    </xf>
    <xf numFmtId="0" fontId="23" fillId="0" borderId="110" xfId="0" applyFont="1" applyFill="1" applyBorder="1" applyAlignment="1">
      <alignment horizontal="center"/>
    </xf>
    <xf numFmtId="0" fontId="35" fillId="0" borderId="110" xfId="0" applyFont="1" applyFill="1" applyBorder="1"/>
    <xf numFmtId="37" fontId="23" fillId="5" borderId="80" xfId="0" applyNumberFormat="1" applyFont="1" applyFill="1" applyBorder="1" applyAlignment="1" applyProtection="1">
      <alignment horizontal="center"/>
      <protection locked="0"/>
    </xf>
    <xf numFmtId="0" fontId="36" fillId="0" borderId="110" xfId="0" applyFont="1" applyBorder="1"/>
    <xf numFmtId="5" fontId="30" fillId="9" borderId="80" xfId="7" applyNumberFormat="1" applyFont="1" applyFill="1" applyBorder="1" applyAlignment="1" applyProtection="1">
      <alignment horizontal="right" indent="1"/>
    </xf>
    <xf numFmtId="0" fontId="35" fillId="0" borderId="144" xfId="0" applyFont="1" applyFill="1" applyBorder="1" applyAlignment="1">
      <alignment horizontal="right"/>
    </xf>
    <xf numFmtId="0" fontId="35" fillId="0" borderId="85" xfId="0" applyFont="1" applyFill="1" applyBorder="1" applyAlignment="1">
      <alignment horizontal="right"/>
    </xf>
    <xf numFmtId="0" fontId="91" fillId="0" borderId="110" xfId="0" applyFont="1" applyFill="1" applyBorder="1"/>
    <xf numFmtId="37" fontId="30" fillId="0" borderId="144" xfId="0" applyNumberFormat="1" applyFont="1" applyBorder="1" applyAlignment="1" applyProtection="1">
      <alignment horizontal="left" indent="2"/>
    </xf>
    <xf numFmtId="37" fontId="30" fillId="0" borderId="85" xfId="0" applyNumberFormat="1" applyFont="1" applyBorder="1" applyAlignment="1" applyProtection="1">
      <alignment horizontal="left" indent="2"/>
    </xf>
    <xf numFmtId="2" fontId="30" fillId="5" borderId="80" xfId="9" applyNumberFormat="1" applyFont="1" applyFill="1" applyBorder="1" applyAlignment="1" applyProtection="1">
      <alignment horizontal="center"/>
      <protection locked="0"/>
    </xf>
    <xf numFmtId="10" fontId="92" fillId="0" borderId="110" xfId="0" applyNumberFormat="1" applyFont="1" applyFill="1" applyBorder="1" applyAlignment="1" applyProtection="1">
      <alignment horizontal="center"/>
    </xf>
    <xf numFmtId="169" fontId="69" fillId="9" borderId="0" xfId="7" applyNumberFormat="1" applyFont="1" applyFill="1" applyBorder="1" applyProtection="1"/>
    <xf numFmtId="37" fontId="30" fillId="0" borderId="146" xfId="0" applyNumberFormat="1" applyFont="1" applyBorder="1" applyAlignment="1" applyProtection="1">
      <alignment horizontal="left" indent="2"/>
    </xf>
    <xf numFmtId="37" fontId="30" fillId="0" borderId="147" xfId="0" applyNumberFormat="1" applyFont="1" applyBorder="1" applyAlignment="1" applyProtection="1">
      <alignment horizontal="left" indent="2"/>
    </xf>
    <xf numFmtId="2" fontId="30" fillId="5" borderId="129" xfId="9" applyNumberFormat="1" applyFont="1" applyFill="1" applyBorder="1" applyAlignment="1" applyProtection="1">
      <alignment horizontal="center"/>
      <protection locked="0"/>
    </xf>
    <xf numFmtId="49" fontId="63" fillId="0" borderId="130" xfId="0" applyNumberFormat="1" applyFont="1" applyFill="1" applyBorder="1" applyAlignment="1" applyProtection="1">
      <alignment horizontal="center"/>
    </xf>
    <xf numFmtId="168" fontId="30" fillId="0" borderId="0" xfId="8" applyNumberFormat="1" applyFont="1" applyFill="1" applyBorder="1" applyAlignment="1" applyProtection="1">
      <alignment horizontal="center"/>
    </xf>
    <xf numFmtId="37" fontId="27" fillId="9" borderId="148" xfId="0" applyNumberFormat="1" applyFont="1" applyFill="1" applyBorder="1" applyAlignment="1" applyProtection="1"/>
    <xf numFmtId="37" fontId="27" fillId="9" borderId="150" xfId="0" applyNumberFormat="1" applyFont="1" applyFill="1" applyBorder="1" applyAlignment="1" applyProtection="1"/>
    <xf numFmtId="0" fontId="23" fillId="9" borderId="150" xfId="0" applyFont="1" applyFill="1" applyBorder="1"/>
    <xf numFmtId="37" fontId="27" fillId="9" borderId="151" xfId="0" applyNumberFormat="1" applyFont="1" applyFill="1" applyBorder="1" applyAlignment="1" applyProtection="1"/>
    <xf numFmtId="37" fontId="30" fillId="0" borderId="2" xfId="0" applyNumberFormat="1" applyFont="1" applyFill="1" applyBorder="1" applyAlignment="1" applyProtection="1">
      <alignment horizontal="right"/>
    </xf>
    <xf numFmtId="37" fontId="30" fillId="0" borderId="84" xfId="0" applyNumberFormat="1" applyFont="1" applyFill="1" applyBorder="1" applyAlignment="1" applyProtection="1">
      <alignment horizontal="right"/>
    </xf>
    <xf numFmtId="5" fontId="23" fillId="0" borderId="110" xfId="0" applyNumberFormat="1" applyFont="1" applyFill="1" applyBorder="1" applyAlignment="1"/>
    <xf numFmtId="5" fontId="23" fillId="9" borderId="0" xfId="0" applyNumberFormat="1" applyFont="1" applyFill="1" applyBorder="1"/>
    <xf numFmtId="5" fontId="23" fillId="0" borderId="110" xfId="0" applyNumberFormat="1" applyFont="1" applyBorder="1"/>
    <xf numFmtId="9" fontId="23" fillId="5" borderId="80" xfId="0" applyNumberFormat="1" applyFont="1" applyFill="1" applyBorder="1" applyAlignment="1" applyProtection="1">
      <alignment horizontal="center"/>
      <protection locked="0"/>
    </xf>
    <xf numFmtId="37" fontId="30" fillId="0" borderId="144" xfId="0" applyNumberFormat="1" applyFont="1" applyFill="1" applyBorder="1" applyAlignment="1" applyProtection="1">
      <alignment horizontal="right"/>
    </xf>
    <xf numFmtId="37" fontId="30" fillId="0" borderId="85" xfId="0" applyNumberFormat="1" applyFont="1" applyFill="1" applyBorder="1" applyAlignment="1" applyProtection="1">
      <alignment horizontal="right"/>
    </xf>
    <xf numFmtId="49" fontId="31" fillId="0" borderId="110" xfId="0" applyNumberFormat="1" applyFont="1" applyFill="1" applyBorder="1" applyAlignment="1" applyProtection="1">
      <alignment horizontal="center"/>
    </xf>
    <xf numFmtId="49" fontId="93" fillId="0" borderId="110" xfId="0" applyNumberFormat="1" applyFont="1" applyFill="1" applyBorder="1" applyAlignment="1" applyProtection="1">
      <alignment horizontal="center"/>
    </xf>
    <xf numFmtId="1" fontId="30" fillId="5" borderId="80" xfId="0" applyNumberFormat="1" applyFont="1" applyFill="1" applyBorder="1" applyAlignment="1" applyProtection="1">
      <alignment horizontal="center"/>
      <protection locked="0"/>
    </xf>
    <xf numFmtId="49" fontId="67" fillId="0" borderId="110" xfId="0" applyNumberFormat="1" applyFont="1" applyFill="1" applyBorder="1" applyAlignment="1" applyProtection="1">
      <alignment horizontal="left"/>
    </xf>
    <xf numFmtId="37" fontId="30" fillId="0" borderId="146" xfId="0" applyNumberFormat="1" applyFont="1" applyFill="1" applyBorder="1" applyAlignment="1" applyProtection="1">
      <alignment horizontal="right"/>
    </xf>
    <xf numFmtId="37" fontId="30" fillId="0" borderId="147" xfId="0" applyNumberFormat="1" applyFont="1" applyFill="1" applyBorder="1" applyAlignment="1" applyProtection="1">
      <alignment horizontal="right"/>
    </xf>
    <xf numFmtId="5" fontId="30" fillId="9" borderId="129" xfId="7" applyNumberFormat="1" applyFont="1" applyFill="1" applyBorder="1" applyAlignment="1" applyProtection="1">
      <alignment horizontal="right" indent="1"/>
    </xf>
    <xf numFmtId="49" fontId="67" fillId="0" borderId="130" xfId="0" applyNumberFormat="1" applyFont="1" applyFill="1" applyBorder="1" applyAlignment="1" applyProtection="1">
      <alignment horizontal="left"/>
    </xf>
    <xf numFmtId="37" fontId="27" fillId="9" borderId="44" xfId="0" applyNumberFormat="1" applyFont="1" applyFill="1" applyBorder="1" applyAlignment="1" applyProtection="1"/>
    <xf numFmtId="37" fontId="30" fillId="0" borderId="92" xfId="0" applyNumberFormat="1" applyFont="1" applyFill="1" applyBorder="1" applyAlignment="1" applyProtection="1">
      <alignment horizontal="right"/>
    </xf>
    <xf numFmtId="37" fontId="30" fillId="0" borderId="38" xfId="0" applyNumberFormat="1" applyFont="1" applyFill="1" applyBorder="1" applyAlignment="1" applyProtection="1">
      <alignment horizontal="right"/>
    </xf>
    <xf numFmtId="0" fontId="23" fillId="0" borderId="36" xfId="0" applyFont="1" applyBorder="1" applyAlignment="1">
      <alignment horizontal="right"/>
    </xf>
    <xf numFmtId="0" fontId="23" fillId="0" borderId="29" xfId="0" applyFont="1" applyBorder="1" applyAlignment="1">
      <alignment horizontal="right"/>
    </xf>
    <xf numFmtId="5" fontId="23" fillId="0" borderId="24" xfId="0" applyNumberFormat="1" applyFont="1" applyFill="1" applyBorder="1" applyAlignment="1"/>
    <xf numFmtId="5" fontId="23" fillId="0" borderId="24" xfId="0" applyNumberFormat="1" applyFont="1" applyBorder="1"/>
    <xf numFmtId="9" fontId="23" fillId="5" borderId="17" xfId="0" applyNumberFormat="1" applyFont="1" applyFill="1" applyBorder="1" applyAlignment="1" applyProtection="1">
      <alignment horizontal="center"/>
      <protection locked="0"/>
    </xf>
    <xf numFmtId="37" fontId="30" fillId="0" borderId="36" xfId="0" applyNumberFormat="1" applyFont="1" applyFill="1" applyBorder="1" applyAlignment="1" applyProtection="1">
      <alignment horizontal="right"/>
    </xf>
    <xf numFmtId="37" fontId="30" fillId="0" borderId="29" xfId="0" applyNumberFormat="1" applyFont="1" applyFill="1" applyBorder="1" applyAlignment="1" applyProtection="1">
      <alignment horizontal="right"/>
    </xf>
    <xf numFmtId="49" fontId="31" fillId="0" borderId="24" xfId="0" applyNumberFormat="1" applyFont="1" applyFill="1" applyBorder="1" applyAlignment="1" applyProtection="1">
      <alignment horizontal="center"/>
    </xf>
    <xf numFmtId="49" fontId="93" fillId="0" borderId="24" xfId="0" applyNumberFormat="1" applyFont="1" applyFill="1" applyBorder="1" applyAlignment="1" applyProtection="1">
      <alignment horizontal="center"/>
    </xf>
    <xf numFmtId="1" fontId="30" fillId="5" borderId="17" xfId="0" applyNumberFormat="1" applyFont="1" applyFill="1" applyBorder="1" applyAlignment="1" applyProtection="1">
      <alignment horizontal="center"/>
      <protection locked="0"/>
    </xf>
    <xf numFmtId="49" fontId="67" fillId="0" borderId="24" xfId="0" applyNumberFormat="1" applyFont="1" applyFill="1" applyBorder="1" applyAlignment="1" applyProtection="1">
      <alignment horizontal="left"/>
    </xf>
    <xf numFmtId="5" fontId="30" fillId="9" borderId="37" xfId="7" applyNumberFormat="1" applyFont="1" applyFill="1" applyBorder="1" applyAlignment="1" applyProtection="1">
      <alignment horizontal="right" indent="1"/>
    </xf>
    <xf numFmtId="37" fontId="30" fillId="0" borderId="0" xfId="0" applyNumberFormat="1" applyFont="1" applyFill="1" applyBorder="1" applyAlignment="1" applyProtection="1">
      <alignment horizontal="right"/>
    </xf>
    <xf numFmtId="49" fontId="67" fillId="0" borderId="0" xfId="0" applyNumberFormat="1" applyFont="1" applyFill="1" applyBorder="1" applyAlignment="1" applyProtection="1">
      <alignment horizontal="left"/>
    </xf>
    <xf numFmtId="168" fontId="30" fillId="9" borderId="0" xfId="8" applyNumberFormat="1" applyFont="1" applyFill="1" applyBorder="1" applyAlignment="1" applyProtection="1">
      <alignment horizontal="center"/>
    </xf>
    <xf numFmtId="49" fontId="67" fillId="9" borderId="0" xfId="0" applyNumberFormat="1" applyFont="1" applyFill="1" applyBorder="1" applyAlignment="1" applyProtection="1">
      <alignment horizontal="left"/>
    </xf>
    <xf numFmtId="37" fontId="30" fillId="0" borderId="152" xfId="0" applyNumberFormat="1" applyFont="1" applyFill="1" applyBorder="1" applyAlignment="1" applyProtection="1">
      <alignment horizontal="right"/>
    </xf>
    <xf numFmtId="37" fontId="30" fillId="0" borderId="89" xfId="0" applyNumberFormat="1" applyFont="1" applyFill="1" applyBorder="1" applyAlignment="1" applyProtection="1">
      <alignment horizontal="right"/>
    </xf>
    <xf numFmtId="5" fontId="23" fillId="0" borderId="110" xfId="0" applyNumberFormat="1" applyFont="1" applyFill="1" applyBorder="1" applyAlignment="1" applyProtection="1"/>
    <xf numFmtId="0" fontId="23" fillId="9" borderId="42" xfId="0" applyFont="1" applyFill="1" applyBorder="1"/>
    <xf numFmtId="37" fontId="27" fillId="9" borderId="66" xfId="0" applyNumberFormat="1" applyFont="1" applyFill="1" applyBorder="1" applyAlignment="1" applyProtection="1"/>
    <xf numFmtId="37" fontId="30" fillId="0" borderId="148" xfId="0" applyNumberFormat="1" applyFont="1" applyFill="1" applyBorder="1" applyAlignment="1" applyProtection="1">
      <alignment horizontal="right"/>
    </xf>
    <xf numFmtId="37" fontId="30" fillId="0" borderId="157" xfId="0" applyNumberFormat="1" applyFont="1" applyFill="1" applyBorder="1" applyAlignment="1" applyProtection="1">
      <alignment horizontal="right"/>
    </xf>
    <xf numFmtId="0" fontId="23" fillId="0" borderId="155" xfId="0" applyFont="1" applyBorder="1" applyAlignment="1">
      <alignment horizontal="right"/>
    </xf>
    <xf numFmtId="0" fontId="23" fillId="0" borderId="84" xfId="0" applyFont="1" applyBorder="1" applyAlignment="1">
      <alignment horizontal="right"/>
    </xf>
    <xf numFmtId="5" fontId="23" fillId="0" borderId="156" xfId="0" applyNumberFormat="1" applyFont="1" applyFill="1" applyBorder="1" applyAlignment="1"/>
    <xf numFmtId="0" fontId="2" fillId="5" borderId="0" xfId="0" applyFont="1" applyFill="1" applyBorder="1" applyAlignment="1" applyProtection="1">
      <alignment horizontal="left"/>
      <protection locked="0"/>
    </xf>
    <xf numFmtId="0" fontId="35" fillId="0" borderId="0" xfId="0" applyFont="1" applyFill="1" applyBorder="1" applyAlignment="1" applyProtection="1">
      <alignment horizontal="left"/>
    </xf>
    <xf numFmtId="3" fontId="23" fillId="9" borderId="0" xfId="0" quotePrefix="1" applyNumberFormat="1" applyFont="1" applyFill="1" applyBorder="1"/>
    <xf numFmtId="14" fontId="38" fillId="5" borderId="0" xfId="0" applyNumberFormat="1" applyFont="1" applyFill="1" applyAlignment="1" applyProtection="1">
      <alignment horizontal="right" indent="1"/>
      <protection locked="0"/>
    </xf>
    <xf numFmtId="0" fontId="38" fillId="0" borderId="0" xfId="0" applyFont="1" applyFill="1" applyAlignment="1" applyProtection="1">
      <alignment horizontal="right"/>
    </xf>
    <xf numFmtId="0" fontId="23" fillId="0" borderId="0" xfId="0" applyFont="1" applyBorder="1" applyAlignment="1">
      <alignment horizontal="right" wrapText="1" indent="1"/>
    </xf>
    <xf numFmtId="6" fontId="23" fillId="0" borderId="0" xfId="0" applyNumberFormat="1" applyFont="1" applyBorder="1" applyAlignment="1">
      <alignment horizontal="right" indent="2"/>
    </xf>
    <xf numFmtId="186" fontId="23" fillId="0" borderId="0" xfId="0" applyNumberFormat="1" applyFont="1" applyBorder="1" applyAlignment="1">
      <alignment horizontal="right" indent="1"/>
    </xf>
    <xf numFmtId="0" fontId="23" fillId="0" borderId="0" xfId="0" applyFont="1" applyBorder="1" applyAlignment="1">
      <alignment horizontal="left" wrapText="1"/>
    </xf>
    <xf numFmtId="0" fontId="23" fillId="0" borderId="109" xfId="49" applyFont="1" applyBorder="1" applyAlignment="1" applyProtection="1">
      <alignment horizontal="right" wrapText="1" indent="2"/>
    </xf>
    <xf numFmtId="0" fontId="23" fillId="0" borderId="109" xfId="49" applyFont="1" applyBorder="1" applyAlignment="1" applyProtection="1">
      <alignment horizontal="right" indent="2"/>
    </xf>
    <xf numFmtId="0" fontId="23" fillId="0" borderId="177" xfId="49" applyFont="1" applyBorder="1" applyAlignment="1" applyProtection="1">
      <alignment horizontal="right" indent="2"/>
    </xf>
    <xf numFmtId="0" fontId="23" fillId="0" borderId="178" xfId="49" applyFont="1" applyBorder="1" applyAlignment="1">
      <alignment horizontal="right" indent="2"/>
    </xf>
    <xf numFmtId="0" fontId="23" fillId="0" borderId="179" xfId="49" applyFont="1" applyBorder="1" applyAlignment="1">
      <alignment horizontal="right" indent="1"/>
    </xf>
    <xf numFmtId="0" fontId="25" fillId="0" borderId="70" xfId="49" applyFont="1" applyBorder="1" applyAlignment="1">
      <alignment horizontal="center" shrinkToFit="1"/>
    </xf>
    <xf numFmtId="10" fontId="23" fillId="0" borderId="145" xfId="49" quotePrefix="1" applyNumberFormat="1" applyFont="1" applyBorder="1" applyAlignment="1">
      <alignment horizontal="center"/>
    </xf>
    <xf numFmtId="10" fontId="23" fillId="0" borderId="180" xfId="49" quotePrefix="1" applyNumberFormat="1" applyFont="1" applyBorder="1" applyAlignment="1">
      <alignment horizontal="center"/>
    </xf>
    <xf numFmtId="10" fontId="23" fillId="0" borderId="70" xfId="49" applyNumberFormat="1" applyFont="1" applyBorder="1" applyAlignment="1">
      <alignment horizontal="center"/>
    </xf>
    <xf numFmtId="0" fontId="25" fillId="0" borderId="71" xfId="49" applyFont="1" applyBorder="1" applyAlignment="1">
      <alignment horizontal="center"/>
    </xf>
    <xf numFmtId="0" fontId="23" fillId="0" borderId="158" xfId="49" applyFont="1" applyBorder="1" applyAlignment="1" applyProtection="1">
      <alignment horizontal="right" wrapText="1" indent="2"/>
    </xf>
    <xf numFmtId="10" fontId="23" fillId="0" borderId="183" xfId="49" quotePrefix="1" applyNumberFormat="1" applyFont="1" applyBorder="1" applyAlignment="1">
      <alignment horizontal="center"/>
    </xf>
    <xf numFmtId="3" fontId="23" fillId="5" borderId="158" xfId="49" applyNumberFormat="1" applyFont="1" applyFill="1" applyBorder="1" applyAlignment="1" applyProtection="1">
      <alignment horizontal="right" indent="1"/>
      <protection locked="0"/>
    </xf>
    <xf numFmtId="3" fontId="23" fillId="5" borderId="105" xfId="49" applyNumberFormat="1" applyFont="1" applyFill="1" applyBorder="1" applyAlignment="1" applyProtection="1">
      <alignment horizontal="right" indent="1"/>
      <protection locked="0"/>
    </xf>
    <xf numFmtId="3" fontId="23" fillId="0" borderId="178" xfId="51" applyNumberFormat="1" applyFont="1" applyBorder="1" applyAlignment="1">
      <alignment horizontal="right" indent="1"/>
    </xf>
    <xf numFmtId="3" fontId="23" fillId="0" borderId="94" xfId="51" applyNumberFormat="1" applyFont="1" applyBorder="1" applyAlignment="1">
      <alignment horizontal="right" indent="1"/>
    </xf>
    <xf numFmtId="10" fontId="23" fillId="0" borderId="156" xfId="49" quotePrefix="1" applyNumberFormat="1" applyFont="1" applyBorder="1" applyAlignment="1">
      <alignment horizontal="right" indent="1"/>
    </xf>
    <xf numFmtId="10" fontId="23" fillId="0" borderId="110" xfId="49" quotePrefix="1" applyNumberFormat="1" applyFont="1" applyBorder="1" applyAlignment="1">
      <alignment horizontal="right" indent="1"/>
    </xf>
    <xf numFmtId="10" fontId="23" fillId="0" borderId="131" xfId="49" quotePrefix="1" applyNumberFormat="1" applyFont="1" applyBorder="1" applyAlignment="1">
      <alignment horizontal="right" indent="1"/>
    </xf>
    <xf numFmtId="10" fontId="23" fillId="0" borderId="160" xfId="49" applyNumberFormat="1" applyFont="1" applyBorder="1" applyAlignment="1">
      <alignment horizontal="right" indent="1"/>
    </xf>
    <xf numFmtId="0" fontId="0" fillId="0" borderId="0" xfId="0" applyAlignment="1">
      <alignment wrapText="1"/>
    </xf>
    <xf numFmtId="0" fontId="25" fillId="0" borderId="83" xfId="49" applyFont="1" applyBorder="1" applyAlignment="1">
      <alignment horizontal="center" wrapText="1"/>
    </xf>
    <xf numFmtId="0" fontId="25" fillId="0" borderId="178" xfId="49" applyFont="1" applyBorder="1" applyAlignment="1">
      <alignment horizontal="center"/>
    </xf>
    <xf numFmtId="0" fontId="25" fillId="0" borderId="179" xfId="49" applyFont="1" applyBorder="1" applyAlignment="1">
      <alignment horizontal="center"/>
    </xf>
    <xf numFmtId="0" fontId="25" fillId="0" borderId="94" xfId="49" applyFont="1" applyBorder="1" applyAlignment="1">
      <alignment horizontal="center"/>
    </xf>
    <xf numFmtId="0" fontId="25" fillId="0" borderId="160" xfId="49" applyFont="1" applyBorder="1" applyAlignment="1">
      <alignment horizontal="center"/>
    </xf>
    <xf numFmtId="0" fontId="25" fillId="0" borderId="178" xfId="49" applyFont="1" applyBorder="1" applyAlignment="1">
      <alignment horizontal="center" wrapText="1"/>
    </xf>
    <xf numFmtId="0" fontId="25" fillId="0" borderId="94" xfId="49" applyFont="1" applyBorder="1" applyAlignment="1">
      <alignment horizontal="center" wrapText="1"/>
    </xf>
    <xf numFmtId="0" fontId="25" fillId="0" borderId="160" xfId="49" applyFont="1" applyBorder="1" applyAlignment="1">
      <alignment horizontal="center" wrapText="1"/>
    </xf>
    <xf numFmtId="0" fontId="25" fillId="0" borderId="70" xfId="49" applyFont="1" applyBorder="1" applyAlignment="1">
      <alignment horizontal="center" wrapText="1"/>
    </xf>
    <xf numFmtId="0" fontId="25" fillId="0" borderId="44" xfId="49" applyFont="1" applyBorder="1" applyAlignment="1">
      <alignment horizontal="center"/>
    </xf>
    <xf numFmtId="3" fontId="23" fillId="0" borderId="105" xfId="49" applyNumberFormat="1" applyFont="1" applyFill="1" applyBorder="1" applyAlignment="1" applyProtection="1">
      <alignment horizontal="right" indent="1"/>
    </xf>
    <xf numFmtId="0" fontId="38" fillId="5" borderId="83" xfId="49" applyFont="1" applyFill="1" applyBorder="1" applyAlignment="1" applyProtection="1">
      <alignment horizontal="left"/>
      <protection locked="0"/>
    </xf>
    <xf numFmtId="0" fontId="50" fillId="5" borderId="184" xfId="49" applyFont="1" applyFill="1" applyBorder="1" applyAlignment="1" applyProtection="1">
      <alignment horizontal="center" wrapText="1"/>
      <protection locked="0"/>
    </xf>
    <xf numFmtId="0" fontId="23" fillId="9" borderId="29" xfId="0" applyFont="1" applyFill="1" applyBorder="1" applyAlignment="1" applyProtection="1">
      <alignment horizontal="left" indent="1"/>
    </xf>
    <xf numFmtId="10" fontId="23" fillId="9" borderId="29" xfId="0" applyNumberFormat="1" applyFont="1" applyFill="1" applyBorder="1" applyAlignment="1" applyProtection="1">
      <alignment horizontal="left" indent="1"/>
    </xf>
    <xf numFmtId="0" fontId="23" fillId="9" borderId="29" xfId="0" applyNumberFormat="1" applyFont="1" applyFill="1" applyBorder="1" applyAlignment="1" applyProtection="1">
      <alignment horizontal="left" indent="1"/>
    </xf>
    <xf numFmtId="6" fontId="23" fillId="5" borderId="17" xfId="0" applyNumberFormat="1" applyFont="1" applyFill="1" applyBorder="1" applyAlignment="1" applyProtection="1">
      <alignment horizontal="right" indent="1"/>
      <protection locked="0"/>
    </xf>
    <xf numFmtId="6" fontId="23" fillId="0" borderId="17" xfId="0" applyNumberFormat="1" applyFont="1" applyFill="1" applyBorder="1" applyAlignment="1" applyProtection="1">
      <alignment horizontal="right" indent="1"/>
    </xf>
    <xf numFmtId="6" fontId="23" fillId="9" borderId="17" xfId="2" applyNumberFormat="1" applyFont="1" applyFill="1" applyBorder="1" applyAlignment="1" applyProtection="1">
      <alignment horizontal="right" indent="1"/>
    </xf>
    <xf numFmtId="10" fontId="34" fillId="9" borderId="35" xfId="0" applyNumberFormat="1" applyFont="1" applyFill="1" applyBorder="1" applyAlignment="1" applyProtection="1">
      <alignment horizontal="right"/>
    </xf>
    <xf numFmtId="0" fontId="23" fillId="9" borderId="36" xfId="0" applyFont="1" applyFill="1" applyBorder="1" applyAlignment="1" applyProtection="1">
      <alignment horizontal="left" indent="1"/>
    </xf>
    <xf numFmtId="10" fontId="34" fillId="9" borderId="35" xfId="0" applyNumberFormat="1" applyFont="1" applyFill="1" applyBorder="1" applyProtection="1"/>
    <xf numFmtId="10" fontId="23" fillId="9" borderId="36" xfId="0" applyNumberFormat="1" applyFont="1" applyFill="1" applyBorder="1" applyAlignment="1" applyProtection="1">
      <alignment horizontal="left" indent="1"/>
    </xf>
    <xf numFmtId="0" fontId="23" fillId="9" borderId="36" xfId="0" applyNumberFormat="1" applyFont="1" applyFill="1" applyBorder="1" applyAlignment="1" applyProtection="1">
      <alignment horizontal="left" indent="1"/>
    </xf>
    <xf numFmtId="0" fontId="53" fillId="9" borderId="186" xfId="0" applyFont="1" applyFill="1" applyBorder="1" applyAlignment="1" applyProtection="1">
      <alignment horizontal="left" indent="1"/>
    </xf>
    <xf numFmtId="0" fontId="53" fillId="9" borderId="187" xfId="0" applyFont="1" applyFill="1" applyBorder="1" applyAlignment="1" applyProtection="1">
      <alignment horizontal="left" indent="1"/>
    </xf>
    <xf numFmtId="6" fontId="25" fillId="9" borderId="61" xfId="0" applyNumberFormat="1" applyFont="1" applyFill="1" applyBorder="1" applyAlignment="1" applyProtection="1">
      <alignment horizontal="right" indent="1"/>
    </xf>
    <xf numFmtId="0" fontId="53" fillId="9" borderId="61" xfId="0" applyFont="1" applyFill="1" applyBorder="1" applyAlignment="1" applyProtection="1">
      <alignment horizontal="left" indent="1"/>
    </xf>
    <xf numFmtId="5" fontId="26" fillId="9" borderId="61" xfId="0" applyNumberFormat="1" applyFont="1" applyFill="1" applyBorder="1" applyAlignment="1" applyProtection="1"/>
    <xf numFmtId="10" fontId="39" fillId="9" borderId="60" xfId="0" applyNumberFormat="1" applyFont="1" applyFill="1" applyBorder="1" applyProtection="1"/>
    <xf numFmtId="6" fontId="23" fillId="9" borderId="19" xfId="0" applyNumberFormat="1" applyFont="1" applyFill="1" applyBorder="1" applyAlignment="1" applyProtection="1">
      <alignment horizontal="right" indent="1"/>
    </xf>
    <xf numFmtId="189" fontId="23" fillId="9" borderId="19" xfId="0" applyNumberFormat="1" applyFont="1" applyFill="1" applyBorder="1" applyAlignment="1" applyProtection="1">
      <alignment horizontal="center"/>
    </xf>
    <xf numFmtId="0" fontId="23" fillId="5" borderId="19" xfId="0" applyNumberFormat="1" applyFont="1" applyFill="1" applyBorder="1" applyAlignment="1" applyProtection="1">
      <alignment horizontal="center"/>
      <protection locked="0"/>
    </xf>
    <xf numFmtId="5" fontId="24" fillId="9" borderId="19" xfId="0" applyNumberFormat="1" applyFont="1" applyFill="1" applyBorder="1" applyAlignment="1" applyProtection="1"/>
    <xf numFmtId="10" fontId="34" fillId="9" borderId="65" xfId="0" applyNumberFormat="1" applyFont="1" applyFill="1" applyBorder="1" applyAlignment="1" applyProtection="1">
      <alignment horizontal="right"/>
    </xf>
    <xf numFmtId="0" fontId="23" fillId="9" borderId="188" xfId="0" applyFont="1" applyFill="1" applyBorder="1" applyAlignment="1" applyProtection="1">
      <alignment horizontal="left" indent="1"/>
    </xf>
    <xf numFmtId="0" fontId="23" fillId="9" borderId="38" xfId="0" applyFont="1" applyFill="1" applyBorder="1" applyAlignment="1" applyProtection="1">
      <alignment horizontal="left" indent="1"/>
    </xf>
    <xf numFmtId="6" fontId="23" fillId="9" borderId="19" xfId="2" applyNumberFormat="1" applyFont="1" applyFill="1" applyBorder="1" applyAlignment="1" applyProtection="1">
      <alignment horizontal="right" indent="1"/>
    </xf>
    <xf numFmtId="0" fontId="23" fillId="9" borderId="19" xfId="0" applyFont="1" applyFill="1" applyBorder="1" applyAlignment="1" applyProtection="1">
      <alignment horizontal="left" indent="1"/>
    </xf>
    <xf numFmtId="10" fontId="34" fillId="9" borderId="65" xfId="0" applyNumberFormat="1" applyFont="1" applyFill="1" applyBorder="1" applyProtection="1"/>
    <xf numFmtId="0" fontId="23" fillId="9" borderId="69" xfId="0" applyFont="1" applyFill="1" applyBorder="1" applyProtection="1"/>
    <xf numFmtId="0" fontId="25" fillId="9" borderId="69" xfId="0" applyFont="1" applyFill="1" applyBorder="1" applyAlignment="1" applyProtection="1">
      <alignment horizontal="right" indent="2"/>
    </xf>
    <xf numFmtId="0" fontId="25" fillId="9" borderId="69" xfId="0" applyFont="1" applyFill="1" applyBorder="1" applyAlignment="1" applyProtection="1">
      <alignment horizontal="right" indent="1"/>
    </xf>
    <xf numFmtId="0" fontId="23" fillId="9" borderId="69" xfId="0" applyFont="1" applyFill="1" applyBorder="1" applyAlignment="1" applyProtection="1">
      <alignment horizontal="right" indent="2"/>
    </xf>
    <xf numFmtId="0" fontId="23" fillId="0" borderId="69" xfId="0" applyFont="1" applyFill="1" applyBorder="1" applyAlignment="1" applyProtection="1">
      <alignment horizontal="right" indent="2"/>
    </xf>
    <xf numFmtId="6" fontId="23" fillId="0" borderId="17" xfId="8" applyNumberFormat="1" applyFont="1" applyFill="1" applyBorder="1" applyAlignment="1" applyProtection="1">
      <alignment horizontal="right" indent="2"/>
    </xf>
    <xf numFmtId="6" fontId="23" fillId="9" borderId="17" xfId="0" applyNumberFormat="1" applyFont="1" applyFill="1" applyBorder="1" applyAlignment="1" applyProtection="1">
      <alignment horizontal="right" indent="2"/>
    </xf>
    <xf numFmtId="0" fontId="23" fillId="9" borderId="18" xfId="0" applyFont="1" applyFill="1" applyBorder="1" applyProtection="1"/>
    <xf numFmtId="0" fontId="23" fillId="9" borderId="29" xfId="0" applyFont="1" applyFill="1" applyBorder="1" applyProtection="1"/>
    <xf numFmtId="0" fontId="25" fillId="9" borderId="29" xfId="0" applyFont="1" applyFill="1" applyBorder="1" applyAlignment="1" applyProtection="1">
      <alignment horizontal="right"/>
    </xf>
    <xf numFmtId="0" fontId="23" fillId="9" borderId="29" xfId="0" applyFont="1" applyFill="1" applyBorder="1" applyAlignment="1" applyProtection="1">
      <alignment vertical="center"/>
    </xf>
    <xf numFmtId="0" fontId="25" fillId="9" borderId="0" xfId="0" applyFont="1" applyFill="1" applyBorder="1" applyAlignment="1" applyProtection="1">
      <alignment horizontal="left" indent="1"/>
    </xf>
    <xf numFmtId="38" fontId="23" fillId="0" borderId="105" xfId="21" applyNumberFormat="1" applyFont="1" applyFill="1" applyBorder="1" applyAlignment="1" applyProtection="1">
      <alignment horizontal="right" indent="2"/>
    </xf>
    <xf numFmtId="0" fontId="5" fillId="9" borderId="105" xfId="0" applyFont="1" applyFill="1" applyBorder="1" applyAlignment="1" applyProtection="1">
      <alignment horizontal="left"/>
    </xf>
    <xf numFmtId="3" fontId="25" fillId="0" borderId="184" xfId="16" applyFont="1" applyFill="1" applyBorder="1" applyAlignment="1" applyProtection="1">
      <alignment vertical="center"/>
    </xf>
    <xf numFmtId="38" fontId="25" fillId="0" borderId="189" xfId="21" applyNumberFormat="1" applyFont="1" applyFill="1" applyBorder="1" applyAlignment="1" applyProtection="1">
      <alignment horizontal="right" indent="2"/>
    </xf>
    <xf numFmtId="38" fontId="23" fillId="0" borderId="77" xfId="21" applyNumberFormat="1" applyFont="1" applyFill="1" applyBorder="1" applyAlignment="1" applyProtection="1">
      <alignment horizontal="right" indent="2"/>
    </xf>
    <xf numFmtId="0" fontId="5" fillId="9" borderId="77" xfId="0" applyFont="1" applyFill="1" applyBorder="1" applyAlignment="1" applyProtection="1">
      <alignment horizontal="left"/>
    </xf>
    <xf numFmtId="0" fontId="5" fillId="9" borderId="85" xfId="0" applyFont="1" applyFill="1" applyBorder="1" applyAlignment="1" applyProtection="1">
      <alignment horizontal="left"/>
    </xf>
    <xf numFmtId="172" fontId="25" fillId="0" borderId="103" xfId="18" applyFont="1" applyFill="1" applyBorder="1" applyAlignment="1" applyProtection="1">
      <alignment horizontal="right" vertical="top" wrapText="1" indent="1"/>
    </xf>
    <xf numFmtId="0" fontId="10" fillId="0" borderId="77" xfId="0" applyFont="1" applyFill="1" applyBorder="1" applyAlignment="1">
      <alignment horizontal="right" vertical="top" wrapText="1" indent="1"/>
    </xf>
    <xf numFmtId="6" fontId="25" fillId="0" borderId="77" xfId="21" applyNumberFormat="1" applyFont="1" applyFill="1" applyBorder="1" applyAlignment="1" applyProtection="1">
      <alignment horizontal="right" indent="2"/>
    </xf>
    <xf numFmtId="0" fontId="5" fillId="0" borderId="77" xfId="0" applyFont="1" applyFill="1" applyBorder="1" applyAlignment="1" applyProtection="1">
      <alignment horizontal="left"/>
    </xf>
    <xf numFmtId="6" fontId="49" fillId="0" borderId="85" xfId="0" applyNumberFormat="1" applyFont="1" applyFill="1" applyBorder="1" applyAlignment="1" applyProtection="1">
      <alignment horizontal="right"/>
    </xf>
    <xf numFmtId="6" fontId="49" fillId="0" borderId="77" xfId="0" applyNumberFormat="1" applyFont="1" applyFill="1" applyBorder="1" applyAlignment="1" applyProtection="1">
      <alignment horizontal="right" indent="2"/>
    </xf>
    <xf numFmtId="38" fontId="23" fillId="0" borderId="77" xfId="21" applyNumberFormat="1" applyFont="1" applyFill="1" applyBorder="1" applyAlignment="1" applyProtection="1"/>
    <xf numFmtId="38" fontId="23" fillId="0" borderId="85" xfId="21" applyNumberFormat="1" applyFont="1" applyFill="1" applyBorder="1" applyAlignment="1" applyProtection="1"/>
    <xf numFmtId="0" fontId="5" fillId="0" borderId="77" xfId="0" applyFont="1" applyFill="1" applyBorder="1" applyAlignment="1" applyProtection="1">
      <alignment horizontal="right" indent="2"/>
    </xf>
    <xf numFmtId="0" fontId="5" fillId="0" borderId="85" xfId="0" applyFont="1" applyFill="1" applyBorder="1" applyAlignment="1" applyProtection="1">
      <alignment horizontal="left"/>
    </xf>
    <xf numFmtId="6" fontId="25" fillId="0" borderId="85" xfId="21" applyNumberFormat="1" applyFont="1" applyFill="1" applyBorder="1" applyAlignment="1" applyProtection="1"/>
    <xf numFmtId="10" fontId="53" fillId="0" borderId="189" xfId="0" applyNumberFormat="1" applyFont="1" applyFill="1" applyBorder="1" applyAlignment="1" applyProtection="1">
      <alignment vertical="center"/>
    </xf>
    <xf numFmtId="38" fontId="25" fillId="0" borderId="189" xfId="21" applyNumberFormat="1" applyFont="1" applyFill="1" applyBorder="1" applyAlignment="1" applyProtection="1"/>
    <xf numFmtId="38" fontId="25" fillId="0" borderId="147" xfId="21" applyNumberFormat="1" applyFont="1" applyFill="1" applyBorder="1" applyAlignment="1" applyProtection="1"/>
    <xf numFmtId="0" fontId="23" fillId="3" borderId="80" xfId="0" applyFont="1" applyFill="1" applyBorder="1" applyProtection="1"/>
    <xf numFmtId="9" fontId="32" fillId="3" borderId="80" xfId="0" applyNumberFormat="1" applyFont="1" applyFill="1" applyBorder="1" applyAlignment="1" applyProtection="1">
      <alignment horizontal="right"/>
    </xf>
    <xf numFmtId="167" fontId="27" fillId="3" borderId="80" xfId="0" applyNumberFormat="1" applyFont="1" applyFill="1" applyBorder="1" applyAlignment="1" applyProtection="1">
      <alignment horizontal="right"/>
    </xf>
    <xf numFmtId="0" fontId="25" fillId="9" borderId="190" xfId="0" applyFont="1" applyFill="1" applyBorder="1" applyAlignment="1" applyProtection="1">
      <alignment horizontal="right"/>
    </xf>
    <xf numFmtId="6" fontId="23" fillId="0" borderId="192" xfId="0" applyNumberFormat="1" applyFont="1" applyFill="1" applyBorder="1" applyAlignment="1" applyProtection="1">
      <alignment horizontal="right" wrapText="1" indent="2"/>
    </xf>
    <xf numFmtId="9" fontId="67" fillId="9" borderId="41" xfId="0" applyNumberFormat="1" applyFont="1" applyFill="1" applyBorder="1" applyProtection="1"/>
    <xf numFmtId="6" fontId="23" fillId="5" borderId="80" xfId="19" applyNumberFormat="1" applyFont="1" applyFill="1" applyBorder="1" applyAlignment="1" applyProtection="1">
      <alignment horizontal="right" vertical="top" wrapText="1"/>
      <protection locked="0"/>
    </xf>
    <xf numFmtId="3" fontId="23" fillId="0" borderId="80" xfId="0" applyNumberFormat="1" applyFont="1" applyFill="1" applyBorder="1" applyAlignment="1" applyProtection="1">
      <alignment horizontal="right"/>
    </xf>
    <xf numFmtId="167" fontId="27" fillId="3" borderId="106" xfId="2" applyNumberFormat="1" applyFont="1" applyFill="1" applyBorder="1" applyAlignment="1" applyProtection="1">
      <alignment horizontal="right"/>
    </xf>
    <xf numFmtId="167" fontId="27" fillId="3" borderId="193" xfId="2" applyNumberFormat="1" applyFont="1" applyFill="1" applyBorder="1" applyAlignment="1" applyProtection="1">
      <alignment horizontal="right"/>
    </xf>
    <xf numFmtId="167" fontId="27" fillId="3" borderId="194" xfId="2" applyNumberFormat="1" applyFont="1" applyFill="1" applyBorder="1" applyAlignment="1" applyProtection="1">
      <alignment horizontal="right"/>
    </xf>
    <xf numFmtId="167" fontId="27" fillId="3" borderId="195" xfId="2" applyNumberFormat="1" applyFont="1" applyFill="1" applyBorder="1" applyAlignment="1" applyProtection="1">
      <alignment horizontal="right"/>
    </xf>
    <xf numFmtId="0" fontId="24" fillId="0" borderId="0" xfId="0" applyFont="1" applyFill="1" applyBorder="1" applyAlignment="1" applyProtection="1">
      <alignment wrapText="1"/>
    </xf>
    <xf numFmtId="0" fontId="23" fillId="9" borderId="0" xfId="0" applyFont="1" applyFill="1" applyAlignment="1">
      <alignment wrapText="1"/>
    </xf>
    <xf numFmtId="10" fontId="24" fillId="0" borderId="30" xfId="0" applyNumberFormat="1" applyFont="1" applyFill="1" applyBorder="1" applyAlignment="1" applyProtection="1">
      <alignment horizontal="right" indent="1"/>
    </xf>
    <xf numFmtId="38" fontId="23" fillId="5" borderId="80" xfId="21" applyNumberFormat="1" applyFont="1" applyFill="1" applyBorder="1" applyAlignment="1" applyProtection="1">
      <alignment horizontal="right" indent="2"/>
      <protection locked="0"/>
    </xf>
    <xf numFmtId="10" fontId="23" fillId="5" borderId="71" xfId="0" applyNumberFormat="1" applyFont="1" applyFill="1" applyBorder="1" applyAlignment="1" applyProtection="1">
      <alignment horizontal="right" indent="1"/>
      <protection locked="0"/>
    </xf>
    <xf numFmtId="1" fontId="23" fillId="5" borderId="71" xfId="0" applyNumberFormat="1" applyFont="1" applyFill="1" applyBorder="1" applyAlignment="1" applyProtection="1">
      <alignment horizontal="right" indent="1"/>
      <protection locked="0"/>
    </xf>
    <xf numFmtId="190" fontId="23" fillId="5" borderId="80" xfId="5" applyNumberFormat="1" applyFont="1" applyFill="1" applyBorder="1" applyAlignment="1" applyProtection="1">
      <alignment horizontal="right" indent="2"/>
      <protection locked="0"/>
    </xf>
    <xf numFmtId="41" fontId="38" fillId="2" borderId="1" xfId="17" applyNumberFormat="1" applyFont="1" applyFill="1" applyBorder="1" applyAlignment="1">
      <alignment horizontal="left" vertical="center"/>
    </xf>
    <xf numFmtId="10" fontId="67" fillId="9" borderId="198" xfId="5" applyNumberFormat="1" applyFont="1" applyFill="1" applyBorder="1" applyProtection="1"/>
    <xf numFmtId="10" fontId="67" fillId="9" borderId="197" xfId="5" applyNumberFormat="1" applyFont="1" applyFill="1" applyBorder="1" applyProtection="1"/>
    <xf numFmtId="6" fontId="23" fillId="5" borderId="78" xfId="19" applyNumberFormat="1" applyFont="1" applyFill="1" applyBorder="1" applyAlignment="1" applyProtection="1">
      <alignment horizontal="right" vertical="top" wrapText="1"/>
      <protection locked="0"/>
    </xf>
    <xf numFmtId="0" fontId="25" fillId="9" borderId="0" xfId="0" applyFont="1" applyFill="1" applyBorder="1" applyAlignment="1" applyProtection="1">
      <alignment horizontal="right" wrapText="1"/>
    </xf>
    <xf numFmtId="0" fontId="34" fillId="9" borderId="0" xfId="0" applyFont="1" applyFill="1" applyBorder="1" applyAlignment="1" applyProtection="1">
      <alignment horizontal="right"/>
    </xf>
    <xf numFmtId="0" fontId="24" fillId="9" borderId="0" xfId="0" applyFont="1" applyFill="1" applyBorder="1" applyProtection="1"/>
    <xf numFmtId="6" fontId="23" fillId="5" borderId="76" xfId="0" applyNumberFormat="1" applyFont="1" applyFill="1" applyBorder="1" applyAlignment="1" applyProtection="1">
      <alignment horizontal="right" indent="1"/>
      <protection locked="0"/>
    </xf>
    <xf numFmtId="1" fontId="23" fillId="5" borderId="76" xfId="0" applyNumberFormat="1" applyFont="1" applyFill="1" applyBorder="1" applyAlignment="1" applyProtection="1">
      <alignment horizontal="center"/>
      <protection locked="0"/>
    </xf>
    <xf numFmtId="0" fontId="23" fillId="5" borderId="76" xfId="0" applyNumberFormat="1" applyFont="1" applyFill="1" applyBorder="1" applyAlignment="1" applyProtection="1">
      <alignment horizontal="center"/>
      <protection locked="0"/>
    </xf>
    <xf numFmtId="5" fontId="24" fillId="9" borderId="76" xfId="0" applyNumberFormat="1" applyFont="1" applyFill="1" applyBorder="1" applyAlignment="1" applyProtection="1"/>
    <xf numFmtId="10" fontId="34" fillId="9" borderId="201" xfId="0" applyNumberFormat="1" applyFont="1" applyFill="1" applyBorder="1" applyAlignment="1" applyProtection="1">
      <alignment horizontal="right"/>
    </xf>
    <xf numFmtId="0" fontId="53" fillId="9" borderId="44" xfId="0" applyFont="1" applyFill="1" applyBorder="1" applyAlignment="1" applyProtection="1">
      <alignment horizontal="left" indent="1"/>
    </xf>
    <xf numFmtId="0" fontId="53" fillId="9" borderId="202" xfId="0" applyFont="1" applyFill="1" applyBorder="1" applyAlignment="1" applyProtection="1">
      <alignment horizontal="left" indent="1"/>
    </xf>
    <xf numFmtId="6" fontId="25" fillId="9" borderId="203" xfId="0" applyNumberFormat="1" applyFont="1" applyFill="1" applyBorder="1" applyAlignment="1" applyProtection="1">
      <alignment horizontal="right" indent="1"/>
    </xf>
    <xf numFmtId="0" fontId="53" fillId="9" borderId="203" xfId="0" applyFont="1" applyFill="1" applyBorder="1" applyAlignment="1" applyProtection="1">
      <alignment horizontal="left" indent="1"/>
    </xf>
    <xf numFmtId="5" fontId="26" fillId="9" borderId="203" xfId="0" applyNumberFormat="1" applyFont="1" applyFill="1" applyBorder="1" applyAlignment="1" applyProtection="1"/>
    <xf numFmtId="10" fontId="39" fillId="9" borderId="204" xfId="0" applyNumberFormat="1" applyFont="1" applyFill="1" applyBorder="1" applyAlignment="1" applyProtection="1">
      <alignment horizontal="right"/>
    </xf>
    <xf numFmtId="5" fontId="23" fillId="5" borderId="76" xfId="0" applyNumberFormat="1" applyFont="1" applyFill="1" applyBorder="1" applyAlignment="1" applyProtection="1">
      <alignment horizontal="center"/>
      <protection locked="0"/>
    </xf>
    <xf numFmtId="0" fontId="25" fillId="9" borderId="155" xfId="0" applyFont="1" applyFill="1" applyBorder="1" applyProtection="1"/>
    <xf numFmtId="0" fontId="25" fillId="9" borderId="157" xfId="0" applyFont="1" applyFill="1" applyBorder="1" applyProtection="1"/>
    <xf numFmtId="6" fontId="26" fillId="9" borderId="199" xfId="0" applyNumberFormat="1" applyFont="1" applyFill="1" applyBorder="1" applyAlignment="1" applyProtection="1">
      <alignment horizontal="right" indent="1"/>
    </xf>
    <xf numFmtId="0" fontId="25" fillId="9" borderId="199" xfId="0" applyFont="1" applyFill="1" applyBorder="1" applyProtection="1"/>
    <xf numFmtId="10" fontId="24" fillId="9" borderId="205" xfId="0" applyNumberFormat="1" applyFont="1" applyFill="1" applyBorder="1" applyProtection="1"/>
    <xf numFmtId="6" fontId="91" fillId="3" borderId="80" xfId="0" applyNumberFormat="1" applyFont="1" applyFill="1" applyBorder="1" applyAlignment="1" applyProtection="1">
      <alignment horizontal="right" indent="2"/>
    </xf>
    <xf numFmtId="38" fontId="23" fillId="0" borderId="129" xfId="0" applyNumberFormat="1" applyFont="1" applyBorder="1" applyAlignment="1" applyProtection="1">
      <alignment horizontal="right" wrapText="1" indent="2"/>
    </xf>
    <xf numFmtId="6" fontId="25" fillId="0" borderId="94" xfId="0" applyNumberFormat="1" applyFont="1" applyBorder="1" applyAlignment="1" applyProtection="1">
      <alignment horizontal="right" indent="2"/>
    </xf>
    <xf numFmtId="0" fontId="23" fillId="0" borderId="206" xfId="0" applyFont="1" applyFill="1" applyBorder="1" applyProtection="1"/>
    <xf numFmtId="0" fontId="23" fillId="0" borderId="76" xfId="0" applyFont="1" applyFill="1" applyBorder="1" applyProtection="1"/>
    <xf numFmtId="0" fontId="25" fillId="0" borderId="76" xfId="0" applyFont="1" applyFill="1" applyBorder="1" applyAlignment="1" applyProtection="1">
      <alignment horizontal="right"/>
    </xf>
    <xf numFmtId="5" fontId="25" fillId="0" borderId="76" xfId="0" applyNumberFormat="1" applyFont="1" applyFill="1" applyBorder="1" applyProtection="1"/>
    <xf numFmtId="5" fontId="25" fillId="0" borderId="201" xfId="0" applyNumberFormat="1" applyFont="1" applyFill="1" applyBorder="1" applyProtection="1"/>
    <xf numFmtId="0" fontId="23" fillId="0" borderId="207" xfId="0" applyFont="1" applyFill="1" applyBorder="1" applyProtection="1"/>
    <xf numFmtId="0" fontId="23" fillId="0" borderId="203" xfId="0" applyFont="1" applyFill="1" applyBorder="1" applyProtection="1"/>
    <xf numFmtId="0" fontId="23" fillId="0" borderId="203" xfId="0" applyFont="1" applyFill="1" applyBorder="1" applyAlignment="1" applyProtection="1">
      <alignment horizontal="right"/>
    </xf>
    <xf numFmtId="10" fontId="23" fillId="0" borderId="203" xfId="0" applyNumberFormat="1" applyFont="1" applyFill="1" applyBorder="1" applyProtection="1"/>
    <xf numFmtId="10" fontId="23" fillId="0" borderId="204" xfId="0" applyNumberFormat="1" applyFont="1" applyFill="1" applyBorder="1" applyProtection="1"/>
    <xf numFmtId="14" fontId="23" fillId="0" borderId="10" xfId="0" applyNumberFormat="1" applyFont="1" applyBorder="1"/>
    <xf numFmtId="3" fontId="38" fillId="0" borderId="93" xfId="11" applyFont="1" applyFill="1" applyBorder="1" applyAlignment="1">
      <alignment vertical="center"/>
    </xf>
    <xf numFmtId="166" fontId="51" fillId="0" borderId="154" xfId="20" applyNumberFormat="1" applyFont="1" applyFill="1" applyBorder="1" applyAlignment="1">
      <alignment horizontal="center" vertical="center"/>
    </xf>
    <xf numFmtId="41" fontId="38" fillId="0" borderId="0" xfId="17" applyNumberFormat="1" applyFont="1" applyFill="1" applyBorder="1" applyAlignment="1" applyProtection="1">
      <alignment horizontal="right" vertical="center"/>
    </xf>
    <xf numFmtId="41" fontId="41" fillId="0" borderId="0" xfId="17" applyNumberFormat="1" applyFont="1" applyFill="1" applyBorder="1" applyAlignment="1" applyProtection="1">
      <alignment horizontal="right" vertical="center"/>
    </xf>
    <xf numFmtId="41" fontId="41" fillId="0" borderId="1" xfId="17" applyNumberFormat="1" applyFont="1" applyFill="1" applyBorder="1" applyAlignment="1" applyProtection="1">
      <alignment horizontal="right" vertical="center"/>
    </xf>
    <xf numFmtId="3" fontId="38" fillId="0" borderId="0" xfId="17" applyFont="1" applyFill="1" applyBorder="1" applyAlignment="1">
      <alignment horizontal="left" vertical="center"/>
    </xf>
    <xf numFmtId="0" fontId="23" fillId="9" borderId="188" xfId="0" applyFont="1" applyFill="1" applyBorder="1"/>
    <xf numFmtId="0" fontId="23" fillId="0" borderId="0" xfId="0" applyFont="1" applyBorder="1" applyProtection="1">
      <protection locked="0"/>
    </xf>
    <xf numFmtId="41" fontId="41" fillId="0" borderId="88" xfId="17" applyNumberFormat="1" applyFont="1" applyFill="1" applyBorder="1" applyAlignment="1" applyProtection="1">
      <alignment horizontal="right" vertical="center"/>
    </xf>
    <xf numFmtId="6" fontId="23" fillId="0" borderId="17" xfId="0" applyNumberFormat="1" applyFont="1" applyFill="1" applyBorder="1" applyAlignment="1" applyProtection="1">
      <alignment horizontal="right" indent="1"/>
      <protection locked="0"/>
    </xf>
    <xf numFmtId="190" fontId="23" fillId="9" borderId="19" xfId="5" applyNumberFormat="1" applyFont="1" applyFill="1" applyBorder="1" applyAlignment="1" applyProtection="1">
      <alignment horizontal="center"/>
    </xf>
    <xf numFmtId="190" fontId="23" fillId="5" borderId="17" xfId="5" applyNumberFormat="1" applyFont="1" applyFill="1" applyBorder="1" applyAlignment="1" applyProtection="1">
      <alignment horizontal="center"/>
      <protection locked="0"/>
    </xf>
    <xf numFmtId="190" fontId="23" fillId="5" borderId="17" xfId="0" applyNumberFormat="1" applyFont="1" applyFill="1" applyBorder="1" applyAlignment="1" applyProtection="1">
      <alignment horizontal="center"/>
      <protection locked="0"/>
    </xf>
    <xf numFmtId="190" fontId="23" fillId="5" borderId="76" xfId="5" applyNumberFormat="1" applyFont="1" applyFill="1" applyBorder="1" applyAlignment="1" applyProtection="1">
      <alignment horizontal="center"/>
      <protection locked="0"/>
    </xf>
    <xf numFmtId="0" fontId="23" fillId="9" borderId="0" xfId="0" applyFont="1" applyFill="1" applyBorder="1" applyAlignment="1" applyProtection="1">
      <alignment horizontal="left" indent="1"/>
    </xf>
    <xf numFmtId="0" fontId="25" fillId="0" borderId="0" xfId="0" applyFont="1" applyFill="1" applyAlignment="1" applyProtection="1">
      <alignment horizontal="right" vertical="top"/>
    </xf>
    <xf numFmtId="168" fontId="23" fillId="9" borderId="44" xfId="0" applyNumberFormat="1" applyFont="1" applyFill="1" applyBorder="1" applyAlignment="1" applyProtection="1">
      <alignment horizontal="left" vertical="top" wrapText="1" indent="1"/>
    </xf>
    <xf numFmtId="168" fontId="23" fillId="9" borderId="70" xfId="0" applyNumberFormat="1" applyFont="1" applyFill="1" applyBorder="1" applyAlignment="1" applyProtection="1">
      <alignment horizontal="left" vertical="top" wrapText="1" indent="1"/>
    </xf>
    <xf numFmtId="41" fontId="59" fillId="2" borderId="166" xfId="17" applyNumberFormat="1" applyFont="1" applyFill="1" applyBorder="1" applyAlignment="1" applyProtection="1">
      <alignment horizontal="right" vertical="center"/>
    </xf>
    <xf numFmtId="37" fontId="38" fillId="2" borderId="209" xfId="11" applyNumberFormat="1" applyFont="1" applyFill="1" applyBorder="1" applyAlignment="1">
      <alignment horizontal="left" vertical="center"/>
    </xf>
    <xf numFmtId="41" fontId="38" fillId="2" borderId="209" xfId="17" applyNumberFormat="1" applyFont="1" applyFill="1" applyBorder="1" applyAlignment="1" applyProtection="1">
      <alignment horizontal="right" vertical="center"/>
    </xf>
    <xf numFmtId="41" fontId="59" fillId="2" borderId="208" xfId="17" applyNumberFormat="1" applyFont="1" applyFill="1" applyBorder="1" applyAlignment="1" applyProtection="1">
      <alignment horizontal="right" vertical="center"/>
    </xf>
    <xf numFmtId="41" fontId="41" fillId="2" borderId="209" xfId="17" applyNumberFormat="1" applyFont="1" applyFill="1" applyBorder="1" applyAlignment="1" applyProtection="1">
      <alignment horizontal="right" vertical="center"/>
    </xf>
    <xf numFmtId="41" fontId="41" fillId="2" borderId="208" xfId="17" applyNumberFormat="1" applyFont="1" applyFill="1" applyBorder="1" applyAlignment="1">
      <alignment horizontal="right" vertical="center"/>
    </xf>
    <xf numFmtId="41" fontId="59" fillId="2" borderId="208" xfId="17" applyNumberFormat="1" applyFont="1" applyFill="1" applyBorder="1" applyAlignment="1">
      <alignment horizontal="right" vertical="center"/>
    </xf>
    <xf numFmtId="41" fontId="38" fillId="2" borderId="209" xfId="17" applyNumberFormat="1" applyFont="1" applyFill="1" applyBorder="1" applyAlignment="1">
      <alignment horizontal="right" vertical="center"/>
    </xf>
    <xf numFmtId="41" fontId="41" fillId="0" borderId="209" xfId="17" applyNumberFormat="1" applyFont="1" applyFill="1" applyBorder="1" applyAlignment="1" applyProtection="1">
      <alignment horizontal="right" vertical="center"/>
    </xf>
    <xf numFmtId="41" fontId="59" fillId="2" borderId="210" xfId="17" applyNumberFormat="1" applyFont="1" applyFill="1" applyBorder="1" applyAlignment="1">
      <alignment horizontal="right" vertical="center"/>
    </xf>
    <xf numFmtId="41" fontId="38" fillId="9" borderId="208" xfId="17" applyNumberFormat="1" applyFont="1" applyFill="1" applyBorder="1" applyAlignment="1" applyProtection="1">
      <alignment horizontal="right" vertical="center"/>
    </xf>
    <xf numFmtId="41" fontId="41" fillId="0" borderId="212" xfId="17" applyNumberFormat="1" applyFont="1" applyFill="1" applyBorder="1" applyAlignment="1" applyProtection="1">
      <alignment horizontal="right" vertical="center"/>
    </xf>
    <xf numFmtId="41" fontId="41" fillId="0" borderId="213" xfId="17" applyNumberFormat="1" applyFont="1" applyFill="1" applyBorder="1" applyAlignment="1" applyProtection="1">
      <alignment horizontal="right" vertical="center"/>
    </xf>
    <xf numFmtId="41" fontId="41" fillId="9" borderId="214" xfId="11" applyNumberFormat="1" applyFont="1" applyFill="1" applyBorder="1" applyAlignment="1">
      <alignment horizontal="right" vertical="center"/>
    </xf>
    <xf numFmtId="4" fontId="41" fillId="2" borderId="208" xfId="17" applyNumberFormat="1" applyFont="1" applyFill="1" applyBorder="1" applyAlignment="1" applyProtection="1">
      <alignment horizontal="right" vertical="center"/>
    </xf>
    <xf numFmtId="4" fontId="41" fillId="2" borderId="215" xfId="17" applyNumberFormat="1" applyFont="1" applyFill="1" applyBorder="1" applyAlignment="1" applyProtection="1">
      <alignment horizontal="right" vertical="center"/>
    </xf>
    <xf numFmtId="10" fontId="51" fillId="0" borderId="154" xfId="20" applyNumberFormat="1" applyFont="1" applyFill="1" applyBorder="1" applyAlignment="1" applyProtection="1">
      <alignment horizontal="right" vertical="center" indent="2"/>
    </xf>
    <xf numFmtId="10" fontId="51" fillId="0" borderId="80" xfId="20" applyNumberFormat="1" applyFont="1" applyFill="1" applyBorder="1" applyAlignment="1" applyProtection="1">
      <alignment horizontal="right" vertical="center" indent="2"/>
    </xf>
    <xf numFmtId="10" fontId="51" fillId="0" borderId="81" xfId="20" applyNumberFormat="1" applyFont="1" applyFill="1" applyBorder="1" applyAlignment="1" applyProtection="1">
      <alignment horizontal="right" vertical="center" indent="2"/>
    </xf>
    <xf numFmtId="0" fontId="42" fillId="9" borderId="104" xfId="0" applyFont="1" applyFill="1" applyBorder="1" applyAlignment="1" applyProtection="1">
      <alignment horizontal="right"/>
    </xf>
    <xf numFmtId="0" fontId="23" fillId="5" borderId="19" xfId="0" applyFont="1" applyFill="1" applyBorder="1" applyAlignment="1" applyProtection="1">
      <alignment horizontal="left" indent="2"/>
      <protection locked="0"/>
    </xf>
    <xf numFmtId="0" fontId="23" fillId="5" borderId="17" xfId="0" applyFont="1" applyFill="1" applyBorder="1" applyAlignment="1" applyProtection="1">
      <alignment horizontal="left" indent="2"/>
      <protection locked="0"/>
    </xf>
    <xf numFmtId="0" fontId="23" fillId="5" borderId="76" xfId="0" applyFont="1" applyFill="1" applyBorder="1" applyAlignment="1" applyProtection="1">
      <alignment horizontal="left" indent="2"/>
      <protection locked="0"/>
    </xf>
    <xf numFmtId="9" fontId="51" fillId="9" borderId="17" xfId="0" applyNumberFormat="1" applyFont="1" applyFill="1" applyBorder="1" applyAlignment="1" applyProtection="1">
      <alignment horizontal="right"/>
    </xf>
    <xf numFmtId="41" fontId="59" fillId="2" borderId="95" xfId="17" applyNumberFormat="1" applyFont="1" applyFill="1" applyBorder="1" applyAlignment="1" applyProtection="1">
      <alignment horizontal="right" vertical="center"/>
    </xf>
    <xf numFmtId="41" fontId="50" fillId="9" borderId="69" xfId="17" applyNumberFormat="1" applyFont="1" applyFill="1" applyBorder="1" applyAlignment="1" applyProtection="1">
      <alignment horizontal="right" vertical="center"/>
    </xf>
    <xf numFmtId="3" fontId="50" fillId="17" borderId="41" xfId="11" quotePrefix="1" applyFont="1" applyFill="1" applyBorder="1" applyAlignment="1">
      <alignment horizontal="right" vertical="center" indent="1"/>
    </xf>
    <xf numFmtId="3" fontId="50" fillId="17" borderId="88" xfId="11" quotePrefix="1" applyFont="1" applyFill="1" applyBorder="1" applyAlignment="1">
      <alignment horizontal="right" vertical="center" indent="1"/>
    </xf>
    <xf numFmtId="3" fontId="50" fillId="17" borderId="211" xfId="11" quotePrefix="1" applyFont="1" applyFill="1" applyBorder="1" applyAlignment="1">
      <alignment horizontal="right" vertical="center" indent="1"/>
    </xf>
    <xf numFmtId="3" fontId="50" fillId="17" borderId="208" xfId="11" quotePrefix="1" applyFont="1" applyFill="1" applyBorder="1" applyAlignment="1">
      <alignment horizontal="right" vertical="center" indent="1"/>
    </xf>
    <xf numFmtId="3" fontId="50" fillId="17" borderId="69" xfId="11" quotePrefix="1" applyFont="1" applyFill="1" applyBorder="1" applyAlignment="1">
      <alignment horizontal="right" vertical="center" indent="1"/>
    </xf>
    <xf numFmtId="3" fontId="50" fillId="17" borderId="70" xfId="11" quotePrefix="1" applyFont="1" applyFill="1" applyBorder="1" applyAlignment="1">
      <alignment horizontal="right" vertical="center" indent="1"/>
    </xf>
    <xf numFmtId="0" fontId="27" fillId="9" borderId="0" xfId="0" applyFont="1" applyFill="1" applyBorder="1" applyProtection="1">
      <protection locked="0"/>
    </xf>
    <xf numFmtId="37" fontId="38" fillId="2" borderId="0" xfId="17" applyNumberFormat="1" applyFont="1" applyFill="1" applyAlignment="1" applyProtection="1">
      <alignment horizontal="left" vertical="center"/>
      <protection locked="0"/>
    </xf>
    <xf numFmtId="3" fontId="38" fillId="2" borderId="0" xfId="11" applyFont="1" applyFill="1" applyAlignment="1" applyProtection="1">
      <alignment horizontal="left" vertical="center"/>
    </xf>
    <xf numFmtId="9" fontId="38" fillId="0" borderId="17" xfId="0" applyNumberFormat="1" applyFont="1" applyFill="1" applyBorder="1" applyAlignment="1" applyProtection="1">
      <alignment horizontal="right"/>
    </xf>
    <xf numFmtId="37" fontId="23" fillId="5" borderId="35" xfId="0" applyNumberFormat="1" applyFont="1" applyFill="1" applyBorder="1" applyAlignment="1" applyProtection="1">
      <alignment horizontal="right" wrapText="1" indent="1"/>
      <protection locked="0"/>
    </xf>
    <xf numFmtId="37" fontId="23" fillId="0" borderId="35" xfId="0" applyNumberFormat="1" applyFont="1" applyFill="1" applyBorder="1" applyAlignment="1" applyProtection="1">
      <alignment horizontal="right" indent="1"/>
    </xf>
    <xf numFmtId="37" fontId="25" fillId="0" borderId="60" xfId="0" applyNumberFormat="1" applyFont="1" applyFill="1" applyBorder="1" applyAlignment="1" applyProtection="1">
      <alignment horizontal="right" indent="1"/>
    </xf>
    <xf numFmtId="5" fontId="67" fillId="0" borderId="32" xfId="2" applyNumberFormat="1" applyFont="1" applyFill="1" applyBorder="1" applyAlignment="1" applyProtection="1">
      <alignment horizontal="right"/>
    </xf>
    <xf numFmtId="5" fontId="67" fillId="9" borderId="32" xfId="0" applyNumberFormat="1" applyFont="1" applyFill="1" applyBorder="1" applyAlignment="1" applyProtection="1">
      <alignment horizontal="right"/>
    </xf>
    <xf numFmtId="10" fontId="36" fillId="9" borderId="113" xfId="5" applyNumberFormat="1" applyFont="1" applyFill="1" applyBorder="1" applyAlignment="1" applyProtection="1">
      <alignment horizontal="right"/>
    </xf>
    <xf numFmtId="10" fontId="36" fillId="9" borderId="114" xfId="5" applyNumberFormat="1" applyFont="1" applyFill="1" applyBorder="1" applyAlignment="1" applyProtection="1">
      <alignment horizontal="right"/>
    </xf>
    <xf numFmtId="10" fontId="36" fillId="9" borderId="115" xfId="5" applyNumberFormat="1" applyFont="1" applyFill="1" applyBorder="1" applyAlignment="1" applyProtection="1">
      <alignment horizontal="right"/>
    </xf>
    <xf numFmtId="10" fontId="36" fillId="9" borderId="100" xfId="5" applyNumberFormat="1" applyFont="1" applyFill="1" applyBorder="1" applyAlignment="1" applyProtection="1">
      <alignment horizontal="right"/>
    </xf>
    <xf numFmtId="0" fontId="67" fillId="9" borderId="0" xfId="0" applyFont="1" applyFill="1" applyBorder="1" applyAlignment="1" applyProtection="1">
      <alignment horizontal="right"/>
    </xf>
    <xf numFmtId="170" fontId="36" fillId="9" borderId="0" xfId="0" applyNumberFormat="1" applyFont="1" applyFill="1" applyBorder="1" applyAlignment="1" applyProtection="1">
      <alignment horizontal="right"/>
    </xf>
    <xf numFmtId="168" fontId="67" fillId="9" borderId="32" xfId="1" applyNumberFormat="1" applyFont="1" applyFill="1" applyBorder="1" applyAlignment="1" applyProtection="1">
      <alignment horizontal="right"/>
    </xf>
    <xf numFmtId="3" fontId="25" fillId="3" borderId="103" xfId="16" applyFont="1" applyFill="1" applyBorder="1" applyAlignment="1" applyProtection="1">
      <alignment vertical="center"/>
    </xf>
    <xf numFmtId="10" fontId="53" fillId="3" borderId="85" xfId="0" applyNumberFormat="1" applyFont="1" applyFill="1" applyBorder="1" applyAlignment="1">
      <alignment vertical="center"/>
    </xf>
    <xf numFmtId="170" fontId="67" fillId="9" borderId="0" xfId="0" applyNumberFormat="1" applyFont="1" applyFill="1" applyBorder="1" applyAlignment="1" applyProtection="1">
      <alignment horizontal="right"/>
    </xf>
    <xf numFmtId="170" fontId="23" fillId="9" borderId="0" xfId="0" applyNumberFormat="1" applyFont="1" applyFill="1" applyBorder="1" applyAlignment="1" applyProtection="1">
      <alignment horizontal="right"/>
    </xf>
    <xf numFmtId="170" fontId="23" fillId="9" borderId="0" xfId="0" applyNumberFormat="1" applyFont="1" applyFill="1" applyAlignment="1" applyProtection="1">
      <alignment horizontal="right"/>
    </xf>
    <xf numFmtId="170" fontId="30" fillId="9" borderId="0" xfId="0" applyNumberFormat="1" applyFont="1" applyFill="1" applyBorder="1" applyAlignment="1" applyProtection="1">
      <alignment horizontal="right"/>
    </xf>
    <xf numFmtId="182" fontId="47" fillId="0" borderId="31" xfId="34" applyNumberFormat="1" applyFont="1" applyFill="1" applyBorder="1" applyAlignment="1" applyProtection="1">
      <alignment horizontal="center"/>
    </xf>
    <xf numFmtId="6" fontId="38" fillId="2" borderId="0" xfId="17" applyNumberFormat="1" applyFont="1" applyFill="1" applyBorder="1" applyAlignment="1" applyProtection="1">
      <alignment horizontal="right" vertical="center"/>
    </xf>
    <xf numFmtId="6" fontId="59" fillId="2" borderId="69" xfId="17" applyNumberFormat="1" applyFont="1" applyFill="1" applyBorder="1" applyAlignment="1">
      <alignment horizontal="right" vertical="center"/>
    </xf>
    <xf numFmtId="6" fontId="23" fillId="3" borderId="80" xfId="21" applyNumberFormat="1" applyFont="1" applyFill="1" applyBorder="1" applyAlignment="1" applyProtection="1">
      <alignment horizontal="right" indent="2"/>
    </xf>
    <xf numFmtId="3" fontId="38" fillId="2" borderId="0" xfId="11" applyFont="1" applyFill="1" applyAlignment="1">
      <alignment horizontal="left" vertical="center" wrapText="1"/>
    </xf>
    <xf numFmtId="3" fontId="38" fillId="2" borderId="85" xfId="11" applyFont="1" applyFill="1" applyBorder="1" applyAlignment="1" applyProtection="1">
      <alignment horizontal="left" vertical="center" indent="1"/>
    </xf>
    <xf numFmtId="6" fontId="38" fillId="2" borderId="77" xfId="17" applyNumberFormat="1" applyFont="1" applyFill="1" applyBorder="1" applyAlignment="1" applyProtection="1">
      <alignment horizontal="right" vertical="center"/>
      <protection locked="0"/>
    </xf>
    <xf numFmtId="41" fontId="41" fillId="2" borderId="77" xfId="17" applyNumberFormat="1" applyFont="1" applyFill="1" applyBorder="1" applyAlignment="1" applyProtection="1">
      <alignment horizontal="right" vertical="center"/>
      <protection locked="0"/>
    </xf>
    <xf numFmtId="41" fontId="41" fillId="2" borderId="212" xfId="17" applyNumberFormat="1" applyFont="1" applyFill="1" applyBorder="1" applyAlignment="1" applyProtection="1">
      <alignment horizontal="right" vertical="center"/>
      <protection locked="0"/>
    </xf>
    <xf numFmtId="10" fontId="67" fillId="9" borderId="18" xfId="5" applyNumberFormat="1" applyFont="1" applyFill="1" applyBorder="1" applyAlignment="1" applyProtection="1">
      <alignment horizontal="right"/>
    </xf>
    <xf numFmtId="10" fontId="67" fillId="9" borderId="34" xfId="5" applyNumberFormat="1" applyFont="1" applyFill="1" applyBorder="1" applyAlignment="1" applyProtection="1">
      <alignment horizontal="right"/>
    </xf>
    <xf numFmtId="10" fontId="67" fillId="9" borderId="216" xfId="5" applyNumberFormat="1" applyFont="1" applyFill="1" applyBorder="1" applyAlignment="1" applyProtection="1">
      <alignment horizontal="right"/>
    </xf>
    <xf numFmtId="41" fontId="41" fillId="2" borderId="144" xfId="17" applyNumberFormat="1" applyFont="1" applyFill="1" applyBorder="1" applyAlignment="1" applyProtection="1">
      <alignment horizontal="right" vertical="center"/>
      <protection locked="0"/>
    </xf>
    <xf numFmtId="37" fontId="30" fillId="0" borderId="0" xfId="0" applyNumberFormat="1" applyFont="1" applyFill="1" applyBorder="1" applyAlignment="1" applyProtection="1">
      <alignment horizontal="left"/>
    </xf>
    <xf numFmtId="0" fontId="30" fillId="0" borderId="0" xfId="0" applyFont="1" applyBorder="1" applyAlignment="1">
      <alignment horizontal="left"/>
    </xf>
    <xf numFmtId="0" fontId="23" fillId="0" borderId="0" xfId="3" applyFont="1" applyProtection="1"/>
    <xf numFmtId="0" fontId="99" fillId="0" borderId="80" xfId="0" quotePrefix="1" applyFont="1" applyBorder="1" applyAlignment="1">
      <alignment horizontal="right" vertical="center" indent="2"/>
    </xf>
    <xf numFmtId="0" fontId="97" fillId="0" borderId="0" xfId="0" applyFont="1"/>
    <xf numFmtId="3" fontId="25" fillId="0" borderId="80" xfId="16" applyFont="1" applyFill="1" applyBorder="1" applyAlignment="1" applyProtection="1">
      <alignment vertical="center"/>
    </xf>
    <xf numFmtId="5" fontId="91" fillId="5" borderId="80" xfId="2" applyNumberFormat="1" applyFont="1" applyFill="1" applyBorder="1" applyAlignment="1" applyProtection="1">
      <alignment horizontal="right" indent="2"/>
      <protection locked="0"/>
    </xf>
    <xf numFmtId="5" fontId="30" fillId="0" borderId="80" xfId="9" applyNumberFormat="1" applyFont="1" applyFill="1" applyBorder="1" applyAlignment="1" applyProtection="1">
      <alignment horizontal="right" indent="2"/>
    </xf>
    <xf numFmtId="5" fontId="30" fillId="0" borderId="80" xfId="5" applyNumberFormat="1" applyFont="1" applyFill="1" applyBorder="1" applyAlignment="1" applyProtection="1">
      <alignment horizontal="right" indent="2"/>
    </xf>
    <xf numFmtId="5" fontId="91" fillId="5" borderId="129" xfId="2" applyNumberFormat="1" applyFont="1" applyFill="1" applyBorder="1" applyAlignment="1" applyProtection="1">
      <alignment horizontal="right" indent="2"/>
      <protection locked="0"/>
    </xf>
    <xf numFmtId="37" fontId="38" fillId="2" borderId="0" xfId="17" applyNumberFormat="1" applyFont="1" applyFill="1" applyAlignment="1" applyProtection="1">
      <alignment horizontal="right" vertical="center"/>
    </xf>
    <xf numFmtId="37" fontId="38" fillId="2" borderId="0" xfId="17" applyNumberFormat="1" applyFont="1" applyFill="1" applyAlignment="1" applyProtection="1">
      <alignment horizontal="left" vertical="center"/>
    </xf>
    <xf numFmtId="37" fontId="38" fillId="2" borderId="0" xfId="17" applyNumberFormat="1" applyFont="1" applyFill="1" applyAlignment="1" applyProtection="1">
      <alignment horizontal="right" vertical="center"/>
      <protection locked="0"/>
    </xf>
    <xf numFmtId="3" fontId="38" fillId="2" borderId="0" xfId="17" applyFont="1" applyFill="1" applyAlignment="1" applyProtection="1">
      <alignment horizontal="left" vertical="center"/>
      <protection locked="0"/>
    </xf>
    <xf numFmtId="3" fontId="38" fillId="9" borderId="0" xfId="17" applyFont="1" applyFill="1" applyAlignment="1" applyProtection="1">
      <alignment horizontal="left" vertical="center"/>
      <protection locked="0"/>
    </xf>
    <xf numFmtId="3" fontId="50" fillId="17" borderId="63" xfId="11" applyFont="1" applyFill="1" applyBorder="1" applyAlignment="1" applyProtection="1">
      <alignment horizontal="center" vertical="center"/>
    </xf>
    <xf numFmtId="9" fontId="51" fillId="9" borderId="17" xfId="0" applyNumberFormat="1" applyFont="1" applyFill="1" applyBorder="1" applyAlignment="1" applyProtection="1">
      <alignment horizontal="right" vertical="center"/>
      <protection locked="0"/>
    </xf>
    <xf numFmtId="0" fontId="37" fillId="9" borderId="0" xfId="0" applyFont="1" applyFill="1" applyAlignment="1">
      <alignment horizontal="left" vertical="center" indent="2"/>
    </xf>
    <xf numFmtId="3" fontId="103" fillId="2" borderId="144" xfId="11" applyFont="1" applyFill="1" applyBorder="1" applyAlignment="1" applyProtection="1">
      <alignment horizontal="left" vertical="center" indent="1"/>
    </xf>
    <xf numFmtId="166" fontId="104" fillId="17" borderId="80" xfId="20" applyNumberFormat="1" applyFont="1" applyFill="1" applyBorder="1" applyAlignment="1" applyProtection="1">
      <alignment horizontal="center" vertical="center"/>
      <protection locked="0"/>
    </xf>
    <xf numFmtId="10" fontId="36" fillId="9" borderId="80" xfId="11" applyNumberFormat="1" applyFont="1" applyFill="1" applyBorder="1" applyAlignment="1" applyProtection="1">
      <alignment horizontal="left" vertical="center"/>
    </xf>
    <xf numFmtId="0" fontId="25" fillId="9" borderId="44" xfId="0" applyFont="1" applyFill="1" applyBorder="1" applyProtection="1"/>
    <xf numFmtId="168" fontId="25" fillId="9" borderId="70" xfId="0" applyNumberFormat="1" applyFont="1" applyFill="1" applyBorder="1" applyAlignment="1" applyProtection="1">
      <alignment horizontal="left"/>
    </xf>
    <xf numFmtId="168" fontId="25" fillId="9" borderId="44" xfId="0" applyNumberFormat="1" applyFont="1" applyFill="1" applyBorder="1" applyAlignment="1" applyProtection="1">
      <alignment horizontal="left"/>
    </xf>
    <xf numFmtId="0" fontId="37" fillId="9" borderId="69" xfId="0" applyFont="1" applyFill="1" applyBorder="1" applyAlignment="1" applyProtection="1">
      <alignment vertical="center"/>
    </xf>
    <xf numFmtId="0" fontId="37" fillId="9" borderId="70" xfId="0" applyFont="1" applyFill="1" applyBorder="1" applyAlignment="1" applyProtection="1">
      <alignment vertical="center"/>
    </xf>
    <xf numFmtId="168" fontId="25" fillId="9" borderId="44" xfId="0" applyNumberFormat="1" applyFont="1" applyFill="1" applyBorder="1" applyAlignment="1" applyProtection="1">
      <alignment horizontal="left" indent="1"/>
    </xf>
    <xf numFmtId="0" fontId="25" fillId="9" borderId="44" xfId="0" applyFont="1" applyFill="1" applyBorder="1" applyAlignment="1" applyProtection="1">
      <alignment horizontal="left" indent="1"/>
    </xf>
    <xf numFmtId="0" fontId="23" fillId="9" borderId="70" xfId="0" applyFont="1" applyFill="1" applyBorder="1" applyProtection="1"/>
    <xf numFmtId="168" fontId="23" fillId="9" borderId="70" xfId="0" applyNumberFormat="1" applyFont="1" applyFill="1" applyBorder="1" applyAlignment="1" applyProtection="1">
      <alignment horizontal="right"/>
    </xf>
    <xf numFmtId="0" fontId="1" fillId="9" borderId="0" xfId="34" applyFont="1" applyFill="1"/>
    <xf numFmtId="168" fontId="23" fillId="5" borderId="71" xfId="8" applyNumberFormat="1" applyFont="1" applyFill="1" applyBorder="1" applyAlignment="1" applyProtection="1">
      <alignment horizontal="left" wrapText="1" indent="1"/>
      <protection locked="0"/>
    </xf>
    <xf numFmtId="0" fontId="23" fillId="5" borderId="64" xfId="0" applyFont="1" applyFill="1" applyBorder="1" applyAlignment="1" applyProtection="1">
      <alignment horizontal="center"/>
      <protection locked="0"/>
    </xf>
    <xf numFmtId="0" fontId="23" fillId="5" borderId="39" xfId="0" applyFont="1" applyFill="1" applyBorder="1" applyAlignment="1" applyProtection="1">
      <alignment horizontal="center"/>
      <protection locked="0"/>
    </xf>
    <xf numFmtId="0" fontId="23" fillId="0" borderId="0" xfId="0" applyFont="1"/>
    <xf numFmtId="169" fontId="23" fillId="9" borderId="217" xfId="1" applyNumberFormat="1" applyFont="1" applyFill="1" applyBorder="1"/>
    <xf numFmtId="9" fontId="23" fillId="9" borderId="217" xfId="5" applyFont="1" applyFill="1" applyBorder="1" applyAlignment="1"/>
    <xf numFmtId="169" fontId="23" fillId="9" borderId="218" xfId="1" applyNumberFormat="1" applyFont="1" applyFill="1" applyBorder="1"/>
    <xf numFmtId="0" fontId="23" fillId="0" borderId="220" xfId="0" applyFont="1" applyBorder="1" applyAlignment="1" applyProtection="1">
      <alignment horizontal="right" indent="1"/>
    </xf>
    <xf numFmtId="0" fontId="23" fillId="9" borderId="219" xfId="0" applyFont="1" applyFill="1" applyBorder="1"/>
    <xf numFmtId="169" fontId="106" fillId="9" borderId="0" xfId="1" applyNumberFormat="1" applyFont="1" applyFill="1"/>
    <xf numFmtId="10" fontId="25" fillId="0" borderId="221" xfId="0" applyNumberFormat="1" applyFont="1" applyBorder="1" applyAlignment="1">
      <alignment horizontal="right"/>
    </xf>
    <xf numFmtId="0" fontId="25" fillId="9" borderId="0" xfId="0" applyFont="1" applyFill="1" applyAlignment="1">
      <alignment horizontal="left"/>
    </xf>
    <xf numFmtId="181" fontId="38" fillId="0" borderId="0" xfId="0" applyNumberFormat="1" applyFont="1" applyFill="1" applyAlignment="1">
      <alignment horizontal="right" indent="1"/>
    </xf>
    <xf numFmtId="1" fontId="23" fillId="0" borderId="0" xfId="0" applyNumberFormat="1" applyFont="1" applyFill="1" applyBorder="1" applyAlignment="1" applyProtection="1">
      <alignment horizontal="left"/>
    </xf>
    <xf numFmtId="0" fontId="50" fillId="0" borderId="80" xfId="0" applyFont="1" applyFill="1" applyBorder="1" applyAlignment="1">
      <alignment horizontal="right"/>
    </xf>
    <xf numFmtId="0" fontId="50" fillId="9" borderId="80" xfId="0" applyFont="1" applyFill="1" applyBorder="1" applyAlignment="1">
      <alignment horizontal="right"/>
    </xf>
    <xf numFmtId="0" fontId="26" fillId="9" borderId="203" xfId="0" applyFont="1" applyFill="1" applyBorder="1" applyAlignment="1" applyProtection="1">
      <alignment horizontal="center" wrapText="1"/>
    </xf>
    <xf numFmtId="0" fontId="38" fillId="9" borderId="203" xfId="0" applyFont="1" applyFill="1" applyBorder="1" applyAlignment="1" applyProtection="1">
      <alignment horizontal="center" wrapText="1"/>
    </xf>
    <xf numFmtId="10" fontId="39" fillId="9" borderId="204" xfId="0" applyNumberFormat="1" applyFont="1" applyFill="1" applyBorder="1" applyAlignment="1" applyProtection="1">
      <alignment horizontal="center" wrapText="1"/>
    </xf>
    <xf numFmtId="172" fontId="23" fillId="0" borderId="80" xfId="0" applyNumberFormat="1" applyFont="1" applyFill="1" applyBorder="1" applyAlignment="1" applyProtection="1">
      <alignment horizontal="right"/>
    </xf>
    <xf numFmtId="0" fontId="23" fillId="9" borderId="80" xfId="0" applyFont="1" applyFill="1" applyBorder="1" applyProtection="1"/>
    <xf numFmtId="168" fontId="23" fillId="9" borderId="80" xfId="0" applyNumberFormat="1" applyFont="1" applyFill="1" applyBorder="1" applyAlignment="1" applyProtection="1">
      <alignment horizontal="right" vertical="center" indent="1"/>
    </xf>
    <xf numFmtId="0" fontId="25" fillId="9" borderId="80" xfId="0" applyFont="1" applyFill="1" applyBorder="1" applyAlignment="1" applyProtection="1">
      <alignment horizontal="right"/>
    </xf>
    <xf numFmtId="172" fontId="23" fillId="0" borderId="80" xfId="0" applyNumberFormat="1" applyFont="1" applyFill="1" applyBorder="1" applyAlignment="1" applyProtection="1">
      <alignment horizontal="right" vertical="center"/>
    </xf>
    <xf numFmtId="172" fontId="23" fillId="0" borderId="80" xfId="0" applyNumberFormat="1" applyFont="1" applyFill="1" applyBorder="1" applyAlignment="1" applyProtection="1">
      <alignment vertical="center"/>
    </xf>
    <xf numFmtId="168" fontId="25" fillId="0" borderId="80" xfId="0" applyNumberFormat="1" applyFont="1" applyFill="1" applyBorder="1" applyAlignment="1" applyProtection="1">
      <alignment horizontal="right"/>
    </xf>
    <xf numFmtId="0" fontId="25" fillId="9" borderId="0" xfId="0" applyFont="1" applyFill="1" applyAlignment="1">
      <alignment horizontal="center" vertical="center"/>
    </xf>
    <xf numFmtId="0" fontId="25" fillId="9" borderId="81" xfId="0" applyFont="1" applyFill="1" applyBorder="1" applyAlignment="1">
      <alignment horizontal="center" vertical="center"/>
    </xf>
    <xf numFmtId="0" fontId="23" fillId="9" borderId="80" xfId="0" applyFont="1" applyFill="1" applyBorder="1"/>
    <xf numFmtId="0" fontId="23" fillId="9" borderId="129" xfId="0" applyFont="1" applyFill="1" applyBorder="1"/>
    <xf numFmtId="0" fontId="50" fillId="0" borderId="129" xfId="0" applyFont="1" applyFill="1" applyBorder="1" applyAlignment="1">
      <alignment horizontal="right"/>
    </xf>
    <xf numFmtId="168" fontId="23" fillId="5" borderId="129" xfId="0" applyNumberFormat="1" applyFont="1" applyFill="1" applyBorder="1" applyAlignment="1" applyProtection="1">
      <alignment horizontal="right"/>
      <protection locked="0"/>
    </xf>
    <xf numFmtId="0" fontId="50" fillId="9" borderId="129" xfId="0" applyFont="1" applyFill="1" applyBorder="1" applyAlignment="1">
      <alignment horizontal="right"/>
    </xf>
    <xf numFmtId="172" fontId="23" fillId="5" borderId="129" xfId="0" applyNumberFormat="1" applyFont="1" applyFill="1" applyBorder="1" applyAlignment="1" applyProtection="1">
      <alignment horizontal="right"/>
      <protection locked="0"/>
    </xf>
    <xf numFmtId="172" fontId="23" fillId="0" borderId="129" xfId="0" applyNumberFormat="1" applyFont="1" applyFill="1" applyBorder="1" applyAlignment="1" applyProtection="1">
      <alignment horizontal="right"/>
    </xf>
    <xf numFmtId="181" fontId="23" fillId="9" borderId="0" xfId="0" applyNumberFormat="1" applyFont="1" applyFill="1" applyAlignment="1" applyProtection="1">
      <alignment horizontal="right"/>
    </xf>
    <xf numFmtId="164" fontId="52" fillId="9" borderId="0" xfId="0" applyNumberFormat="1" applyFont="1" applyFill="1" applyBorder="1" applyAlignment="1" applyProtection="1">
      <alignment horizontal="left" indent="1"/>
    </xf>
    <xf numFmtId="0" fontId="53" fillId="9" borderId="223" xfId="0" applyFont="1" applyFill="1" applyBorder="1" applyAlignment="1" applyProtection="1">
      <alignment horizontal="right"/>
    </xf>
    <xf numFmtId="0" fontId="30" fillId="3" borderId="0" xfId="0" applyFont="1" applyFill="1" applyBorder="1" applyAlignment="1" applyProtection="1">
      <alignment horizontal="left" indent="1"/>
    </xf>
    <xf numFmtId="0" fontId="30" fillId="3" borderId="89" xfId="0" applyFont="1" applyFill="1" applyBorder="1" applyAlignment="1" applyProtection="1">
      <alignment horizontal="left" indent="1"/>
    </xf>
    <xf numFmtId="38" fontId="31" fillId="9" borderId="0" xfId="5" applyNumberFormat="1" applyFont="1" applyFill="1" applyBorder="1" applyProtection="1"/>
    <xf numFmtId="40" fontId="23" fillId="5" borderId="80" xfId="21" applyNumberFormat="1" applyFont="1" applyFill="1" applyBorder="1" applyAlignment="1" applyProtection="1">
      <alignment horizontal="right" indent="2"/>
      <protection locked="0"/>
    </xf>
    <xf numFmtId="0" fontId="23" fillId="0" borderId="19" xfId="0" applyNumberFormat="1" applyFont="1" applyFill="1" applyBorder="1" applyAlignment="1" applyProtection="1">
      <alignment horizontal="center"/>
    </xf>
    <xf numFmtId="0" fontId="23" fillId="0" borderId="17" xfId="0" applyNumberFormat="1" applyFont="1" applyFill="1" applyBorder="1" applyAlignment="1" applyProtection="1">
      <alignment horizontal="center"/>
    </xf>
    <xf numFmtId="0" fontId="23" fillId="0" borderId="76" xfId="0" applyNumberFormat="1" applyFont="1" applyFill="1" applyBorder="1" applyAlignment="1" applyProtection="1">
      <alignment horizontal="center"/>
    </xf>
    <xf numFmtId="168" fontId="23" fillId="0" borderId="71" xfId="8" applyNumberFormat="1" applyFont="1" applyFill="1" applyBorder="1" applyAlignment="1" applyProtection="1">
      <alignment horizontal="left" wrapText="1" indent="1"/>
    </xf>
    <xf numFmtId="3" fontId="23" fillId="0" borderId="80" xfId="11" applyFont="1" applyFill="1" applyBorder="1" applyAlignment="1" applyProtection="1">
      <alignment horizontal="left" vertical="center"/>
    </xf>
    <xf numFmtId="3" fontId="23" fillId="0" borderId="80" xfId="11" applyFont="1" applyFill="1" applyBorder="1" applyAlignment="1" applyProtection="1">
      <alignment horizontal="right" vertical="center" indent="1"/>
    </xf>
    <xf numFmtId="3" fontId="23" fillId="9" borderId="103" xfId="11" applyFont="1" applyFill="1" applyBorder="1" applyAlignment="1" applyProtection="1">
      <alignment horizontal="left" vertical="center"/>
    </xf>
    <xf numFmtId="0" fontId="37" fillId="9" borderId="85" xfId="0" applyFont="1" applyFill="1" applyBorder="1" applyAlignment="1" applyProtection="1">
      <alignment vertical="center"/>
    </xf>
    <xf numFmtId="0" fontId="53" fillId="9" borderId="44" xfId="0" applyFont="1" applyFill="1" applyBorder="1" applyAlignment="1" applyProtection="1">
      <alignment horizontal="left" indent="1"/>
      <protection locked="0"/>
    </xf>
    <xf numFmtId="0" fontId="53" fillId="9" borderId="69" xfId="0" applyFont="1" applyFill="1" applyBorder="1" applyAlignment="1" applyProtection="1">
      <alignment horizontal="left" indent="1"/>
    </xf>
    <xf numFmtId="6" fontId="25" fillId="9" borderId="69" xfId="0" applyNumberFormat="1" applyFont="1" applyFill="1" applyBorder="1" applyAlignment="1" applyProtection="1">
      <alignment horizontal="right" indent="1"/>
    </xf>
    <xf numFmtId="5" fontId="26" fillId="9" borderId="69" xfId="0" applyNumberFormat="1" applyFont="1" applyFill="1" applyBorder="1" applyAlignment="1" applyProtection="1"/>
    <xf numFmtId="10" fontId="39" fillId="9" borderId="70" xfId="0" applyNumberFormat="1" applyFont="1" applyFill="1" applyBorder="1" applyAlignment="1" applyProtection="1">
      <alignment horizontal="right"/>
    </xf>
    <xf numFmtId="6" fontId="38" fillId="0" borderId="0" xfId="0" applyNumberFormat="1" applyFont="1"/>
    <xf numFmtId="0" fontId="23" fillId="0" borderId="0" xfId="0" applyFont="1" applyFill="1" applyAlignment="1">
      <alignment horizontal="center"/>
    </xf>
    <xf numFmtId="0" fontId="35" fillId="0" borderId="0" xfId="0" applyFont="1" applyFill="1" applyAlignment="1">
      <alignment horizontal="center"/>
    </xf>
    <xf numFmtId="0" fontId="23" fillId="9" borderId="0" xfId="0" applyFont="1" applyFill="1" applyAlignment="1">
      <alignment horizontal="center"/>
    </xf>
    <xf numFmtId="0" fontId="23" fillId="0" borderId="0" xfId="0" applyFont="1" applyFill="1" applyBorder="1" applyAlignment="1">
      <alignment horizontal="center"/>
    </xf>
    <xf numFmtId="7" fontId="23" fillId="0" borderId="0" xfId="0" applyNumberFormat="1" applyFont="1" applyFill="1" applyAlignment="1">
      <alignment horizontal="center"/>
    </xf>
    <xf numFmtId="188" fontId="23" fillId="0" borderId="0" xfId="0" applyNumberFormat="1" applyFont="1"/>
    <xf numFmtId="0" fontId="23" fillId="0" borderId="0" xfId="0" applyFont="1" applyFill="1" applyBorder="1" applyAlignment="1" applyProtection="1">
      <alignment horizontal="right"/>
    </xf>
    <xf numFmtId="168" fontId="23" fillId="0" borderId="0" xfId="0" applyNumberFormat="1" applyFont="1" applyFill="1" applyBorder="1" applyAlignment="1" applyProtection="1">
      <alignment horizontal="right" indent="1"/>
    </xf>
    <xf numFmtId="168" fontId="23" fillId="0" borderId="0" xfId="0" applyNumberFormat="1" applyFont="1" applyFill="1" applyBorder="1" applyAlignment="1" applyProtection="1">
      <alignment horizontal="right" indent="2"/>
    </xf>
    <xf numFmtId="0" fontId="23" fillId="0" borderId="0" xfId="0" applyFont="1" applyFill="1" applyBorder="1" applyAlignment="1" applyProtection="1">
      <alignment horizontal="right" indent="2"/>
    </xf>
    <xf numFmtId="3" fontId="25" fillId="0" borderId="0" xfId="0" applyNumberFormat="1" applyFont="1" applyFill="1" applyBorder="1" applyAlignment="1" applyProtection="1">
      <alignment horizontal="right" indent="2"/>
    </xf>
    <xf numFmtId="0" fontId="25" fillId="0" borderId="144" xfId="0" applyFont="1" applyBorder="1"/>
    <xf numFmtId="0" fontId="23" fillId="9" borderId="85" xfId="0" applyFont="1" applyFill="1" applyBorder="1"/>
    <xf numFmtId="3" fontId="25" fillId="5" borderId="136" xfId="0" applyNumberFormat="1" applyFont="1" applyFill="1" applyBorder="1" applyAlignment="1" applyProtection="1">
      <alignment horizontal="right" indent="1"/>
      <protection locked="0"/>
    </xf>
    <xf numFmtId="37" fontId="23" fillId="0" borderId="35" xfId="0" applyNumberFormat="1" applyFont="1" applyBorder="1" applyAlignment="1">
      <alignment horizontal="right" indent="1"/>
    </xf>
    <xf numFmtId="3" fontId="23" fillId="0" borderId="0" xfId="0" applyNumberFormat="1" applyFont="1" applyFill="1" applyBorder="1" applyAlignment="1" applyProtection="1">
      <alignment horizontal="right" indent="2"/>
      <protection locked="0"/>
    </xf>
    <xf numFmtId="167" fontId="25" fillId="9" borderId="76" xfId="8" applyNumberFormat="1" applyFont="1" applyFill="1" applyBorder="1" applyProtection="1"/>
    <xf numFmtId="9" fontId="38" fillId="0" borderId="0" xfId="0" applyNumberFormat="1" applyFont="1" applyFill="1" applyBorder="1" applyAlignment="1" applyProtection="1">
      <alignment horizontal="right"/>
    </xf>
    <xf numFmtId="9" fontId="51" fillId="9" borderId="0" xfId="0" applyNumberFormat="1" applyFont="1" applyFill="1" applyBorder="1" applyAlignment="1" applyProtection="1">
      <alignment horizontal="right"/>
    </xf>
    <xf numFmtId="0" fontId="25" fillId="9" borderId="17" xfId="0" applyFont="1" applyFill="1" applyBorder="1" applyAlignment="1">
      <alignment horizontal="right"/>
    </xf>
    <xf numFmtId="3" fontId="38" fillId="2" borderId="0" xfId="11" applyFont="1" applyFill="1" applyAlignment="1">
      <alignment horizontal="left" vertical="center" indent="1"/>
    </xf>
    <xf numFmtId="0" fontId="23" fillId="9" borderId="224" xfId="0" applyFont="1" applyFill="1" applyBorder="1" applyProtection="1"/>
    <xf numFmtId="0" fontId="2" fillId="9" borderId="0" xfId="34" applyFont="1" applyFill="1" applyAlignment="1">
      <alignment horizontal="left" wrapText="1"/>
    </xf>
    <xf numFmtId="0" fontId="5" fillId="9" borderId="0" xfId="34" applyFont="1" applyFill="1" applyAlignment="1">
      <alignment horizontal="left" wrapText="1"/>
    </xf>
    <xf numFmtId="0" fontId="5" fillId="9" borderId="0" xfId="34" applyFont="1" applyFill="1" applyAlignment="1">
      <alignment horizontal="left"/>
    </xf>
    <xf numFmtId="0" fontId="23" fillId="9" borderId="20" xfId="0" applyFont="1" applyFill="1" applyBorder="1" applyAlignment="1" applyProtection="1"/>
    <xf numFmtId="0" fontId="0" fillId="0" borderId="21" xfId="0" applyBorder="1" applyAlignment="1" applyProtection="1"/>
    <xf numFmtId="0" fontId="23" fillId="9" borderId="23" xfId="0" applyFont="1" applyFill="1" applyBorder="1" applyAlignment="1" applyProtection="1"/>
    <xf numFmtId="0" fontId="0" fillId="0" borderId="17" xfId="0" applyBorder="1" applyAlignment="1" applyProtection="1"/>
    <xf numFmtId="0" fontId="23" fillId="9" borderId="25" xfId="0" applyFont="1" applyFill="1" applyBorder="1" applyAlignment="1" applyProtection="1"/>
    <xf numFmtId="0" fontId="0" fillId="0" borderId="26" xfId="0" applyBorder="1" applyAlignment="1" applyProtection="1"/>
    <xf numFmtId="9" fontId="23" fillId="9" borderId="121" xfId="0" applyNumberFormat="1" applyFont="1" applyFill="1" applyBorder="1" applyAlignment="1" applyProtection="1"/>
    <xf numFmtId="9" fontId="0" fillId="0" borderId="76" xfId="0" applyNumberFormat="1" applyBorder="1" applyAlignment="1" applyProtection="1"/>
    <xf numFmtId="0" fontId="23" fillId="9" borderId="132" xfId="0" applyFont="1" applyFill="1" applyBorder="1" applyAlignment="1" applyProtection="1"/>
    <xf numFmtId="0" fontId="0" fillId="0" borderId="133" xfId="0" applyBorder="1" applyAlignment="1" applyProtection="1"/>
    <xf numFmtId="0" fontId="23" fillId="9" borderId="135" xfId="0" applyFont="1" applyFill="1" applyBorder="1" applyAlignment="1" applyProtection="1"/>
    <xf numFmtId="0" fontId="0" fillId="0" borderId="136" xfId="0" applyBorder="1" applyAlignment="1" applyProtection="1"/>
    <xf numFmtId="0" fontId="23" fillId="9" borderId="138" xfId="0" applyFont="1" applyFill="1" applyBorder="1" applyAlignment="1" applyProtection="1"/>
    <xf numFmtId="0" fontId="0" fillId="0" borderId="139" xfId="0" applyBorder="1" applyAlignment="1" applyProtection="1"/>
    <xf numFmtId="0" fontId="23" fillId="9" borderId="141" xfId="0" applyFont="1" applyFill="1" applyBorder="1" applyAlignment="1" applyProtection="1"/>
    <xf numFmtId="0" fontId="0" fillId="0" borderId="142" xfId="0" applyBorder="1" applyAlignment="1" applyProtection="1"/>
    <xf numFmtId="9" fontId="23" fillId="9" borderId="23" xfId="0" applyNumberFormat="1" applyFont="1" applyFill="1" applyBorder="1" applyAlignment="1" applyProtection="1"/>
    <xf numFmtId="9" fontId="0" fillId="0" borderId="17" xfId="0" applyNumberFormat="1" applyBorder="1" applyAlignment="1" applyProtection="1"/>
    <xf numFmtId="169" fontId="38" fillId="9" borderId="0" xfId="1" applyNumberFormat="1" applyFont="1" applyFill="1" applyAlignment="1">
      <alignment horizontal="left" vertical="top"/>
    </xf>
    <xf numFmtId="0" fontId="0" fillId="0" borderId="0" xfId="0" applyAlignment="1"/>
    <xf numFmtId="0" fontId="23" fillId="9" borderId="117" xfId="0" applyFont="1" applyFill="1" applyBorder="1" applyAlignment="1" applyProtection="1"/>
    <xf numFmtId="0" fontId="0" fillId="0" borderId="61" xfId="0" applyBorder="1" applyAlignment="1" applyProtection="1"/>
    <xf numFmtId="0" fontId="23" fillId="9" borderId="118" xfId="0" applyFont="1" applyFill="1" applyBorder="1" applyAlignment="1" applyProtection="1"/>
    <xf numFmtId="0" fontId="0" fillId="0" borderId="119" xfId="0" applyBorder="1" applyAlignment="1" applyProtection="1"/>
    <xf numFmtId="0" fontId="99" fillId="0" borderId="80" xfId="0" applyFont="1" applyBorder="1" applyAlignment="1">
      <alignment horizontal="left" vertical="center" wrapText="1" indent="1"/>
    </xf>
    <xf numFmtId="0" fontId="11" fillId="0" borderId="80" xfId="0" applyFont="1" applyBorder="1" applyAlignment="1">
      <alignment horizontal="left" wrapText="1" indent="1"/>
    </xf>
    <xf numFmtId="0" fontId="25" fillId="9" borderId="103" xfId="0" applyFont="1" applyFill="1" applyBorder="1" applyAlignment="1">
      <alignment wrapText="1"/>
    </xf>
    <xf numFmtId="0" fontId="10" fillId="0" borderId="77" xfId="0" applyFont="1" applyBorder="1" applyAlignment="1">
      <alignment wrapText="1"/>
    </xf>
    <xf numFmtId="0" fontId="10" fillId="0" borderId="85" xfId="0" applyFont="1" applyBorder="1" applyAlignment="1">
      <alignment wrapText="1"/>
    </xf>
    <xf numFmtId="0" fontId="99" fillId="0" borderId="103" xfId="0" applyFont="1" applyFill="1" applyBorder="1" applyAlignment="1">
      <alignment horizontal="left" vertical="center" wrapText="1" indent="1"/>
    </xf>
    <xf numFmtId="0" fontId="99" fillId="0" borderId="77" xfId="0" applyFont="1" applyFill="1" applyBorder="1" applyAlignment="1">
      <alignment horizontal="left" vertical="center" wrapText="1" indent="1"/>
    </xf>
    <xf numFmtId="0" fontId="99" fillId="0" borderId="85" xfId="0" applyFont="1" applyFill="1" applyBorder="1" applyAlignment="1">
      <alignment horizontal="left" vertical="center" wrapText="1" indent="1"/>
    </xf>
    <xf numFmtId="0" fontId="38" fillId="5" borderId="0" xfId="0" applyFont="1" applyFill="1" applyAlignment="1" applyProtection="1">
      <alignment horizontal="left"/>
      <protection locked="0"/>
    </xf>
    <xf numFmtId="0" fontId="23" fillId="5" borderId="0" xfId="0" applyFont="1" applyFill="1" applyAlignment="1" applyProtection="1">
      <alignment horizontal="left"/>
      <protection locked="0"/>
    </xf>
    <xf numFmtId="0" fontId="50" fillId="9" borderId="0" xfId="0" applyFont="1" applyFill="1" applyBorder="1" applyAlignment="1">
      <alignment wrapText="1"/>
    </xf>
    <xf numFmtId="0" fontId="23" fillId="0" borderId="0" xfId="0" applyFont="1" applyAlignment="1">
      <alignment wrapText="1"/>
    </xf>
    <xf numFmtId="0" fontId="23" fillId="5" borderId="126" xfId="0" applyFont="1" applyFill="1" applyBorder="1" applyAlignment="1" applyProtection="1">
      <alignment horizontal="left" indent="1"/>
      <protection locked="0"/>
    </xf>
    <xf numFmtId="0" fontId="23" fillId="5" borderId="127" xfId="0" applyFont="1" applyFill="1" applyBorder="1" applyAlignment="1" applyProtection="1">
      <alignment horizontal="left" indent="1"/>
      <protection locked="0"/>
    </xf>
    <xf numFmtId="37" fontId="30" fillId="0" borderId="0" xfId="0" applyNumberFormat="1" applyFont="1" applyFill="1" applyBorder="1" applyAlignment="1" applyProtection="1">
      <alignment horizontal="left"/>
    </xf>
    <xf numFmtId="0" fontId="30" fillId="0" borderId="0" xfId="0" applyFont="1" applyBorder="1" applyAlignment="1">
      <alignment horizontal="left"/>
    </xf>
    <xf numFmtId="0" fontId="23" fillId="0" borderId="0" xfId="0" applyFont="1" applyFill="1" applyBorder="1" applyAlignment="1" applyProtection="1">
      <alignment horizontal="left"/>
    </xf>
    <xf numFmtId="0" fontId="11" fillId="0" borderId="0" xfId="0" applyFont="1" applyFill="1" applyBorder="1" applyAlignment="1" applyProtection="1">
      <alignment horizontal="left"/>
    </xf>
    <xf numFmtId="0" fontId="0" fillId="0" borderId="0" xfId="0" applyFill="1" applyAlignment="1" applyProtection="1"/>
    <xf numFmtId="0" fontId="23" fillId="5" borderId="36" xfId="0" applyFont="1" applyFill="1" applyBorder="1" applyAlignment="1" applyProtection="1">
      <alignment horizontal="left" indent="1"/>
      <protection locked="0"/>
    </xf>
    <xf numFmtId="0" fontId="0" fillId="0" borderId="29" xfId="0" applyBorder="1" applyAlignment="1" applyProtection="1">
      <alignment horizontal="left" indent="1"/>
      <protection locked="0"/>
    </xf>
    <xf numFmtId="0" fontId="23" fillId="5" borderId="200" xfId="0" applyFont="1" applyFill="1" applyBorder="1" applyAlignment="1" applyProtection="1">
      <alignment horizontal="left" indent="1"/>
      <protection locked="0"/>
    </xf>
    <xf numFmtId="0" fontId="0" fillId="0" borderId="90" xfId="0" applyBorder="1" applyAlignment="1" applyProtection="1">
      <alignment horizontal="left" indent="1"/>
      <protection locked="0"/>
    </xf>
    <xf numFmtId="189" fontId="23" fillId="9" borderId="36" xfId="0" applyNumberFormat="1" applyFont="1" applyFill="1" applyBorder="1" applyAlignment="1" applyProtection="1">
      <protection locked="0"/>
    </xf>
    <xf numFmtId="0" fontId="0" fillId="0" borderId="29" xfId="0" applyBorder="1" applyAlignment="1" applyProtection="1">
      <protection locked="0"/>
    </xf>
    <xf numFmtId="189" fontId="23" fillId="9" borderId="188" xfId="0" applyNumberFormat="1" applyFont="1" applyFill="1" applyBorder="1" applyAlignment="1" applyProtection="1"/>
    <xf numFmtId="0" fontId="0" fillId="0" borderId="38" xfId="0" applyBorder="1" applyAlignment="1"/>
    <xf numFmtId="0" fontId="25" fillId="9" borderId="44" xfId="0" applyFont="1" applyFill="1" applyBorder="1" applyAlignment="1" applyProtection="1">
      <alignment wrapText="1"/>
    </xf>
    <xf numFmtId="0" fontId="0" fillId="0" borderId="202" xfId="0" applyBorder="1" applyAlignment="1">
      <alignment wrapText="1"/>
    </xf>
    <xf numFmtId="0" fontId="25" fillId="9" borderId="44" xfId="0" applyFont="1" applyFill="1" applyBorder="1" applyAlignment="1" applyProtection="1"/>
    <xf numFmtId="0" fontId="0" fillId="0" borderId="202" xfId="0" applyBorder="1" applyAlignment="1"/>
    <xf numFmtId="0" fontId="23" fillId="9" borderId="0" xfId="0" applyFont="1" applyFill="1" applyBorder="1" applyAlignment="1" applyProtection="1">
      <alignment horizontal="left" indent="1"/>
    </xf>
    <xf numFmtId="0" fontId="11" fillId="0" borderId="0" xfId="0" applyFont="1" applyAlignment="1">
      <alignment horizontal="left" indent="1"/>
    </xf>
    <xf numFmtId="0" fontId="25" fillId="9" borderId="18" xfId="0" applyFont="1" applyFill="1" applyBorder="1" applyAlignment="1" applyProtection="1"/>
    <xf numFmtId="0" fontId="0" fillId="0" borderId="34" xfId="0" applyBorder="1" applyAlignment="1"/>
    <xf numFmtId="0" fontId="0" fillId="0" borderId="29" xfId="0" applyBorder="1" applyAlignment="1"/>
    <xf numFmtId="0" fontId="23" fillId="5" borderId="77" xfId="0" applyFont="1" applyFill="1" applyBorder="1" applyProtection="1">
      <protection locked="0"/>
    </xf>
    <xf numFmtId="0" fontId="0" fillId="5" borderId="77" xfId="0" applyFill="1" applyBorder="1" applyProtection="1">
      <protection locked="0"/>
    </xf>
    <xf numFmtId="3" fontId="25" fillId="9" borderId="103" xfId="11" applyFont="1" applyFill="1" applyBorder="1" applyAlignment="1" applyProtection="1">
      <alignment horizontal="left" vertical="center"/>
    </xf>
    <xf numFmtId="0" fontId="0" fillId="0" borderId="85" xfId="0" applyBorder="1" applyAlignment="1">
      <alignment vertical="center"/>
    </xf>
    <xf numFmtId="3" fontId="25" fillId="9" borderId="184" xfId="11" applyFont="1" applyFill="1" applyBorder="1" applyAlignment="1" applyProtection="1">
      <alignment horizontal="left" vertical="center"/>
    </xf>
    <xf numFmtId="0" fontId="0" fillId="0" borderId="147" xfId="0" applyBorder="1" applyAlignment="1">
      <alignment vertical="center"/>
    </xf>
    <xf numFmtId="3" fontId="25" fillId="9" borderId="83" xfId="11" applyFont="1" applyFill="1" applyBorder="1" applyAlignment="1" applyProtection="1">
      <alignment horizontal="left" vertical="center"/>
    </xf>
    <xf numFmtId="0" fontId="0" fillId="0" borderId="84" xfId="0" applyBorder="1" applyAlignment="1">
      <alignment vertical="center"/>
    </xf>
    <xf numFmtId="172" fontId="23" fillId="0" borderId="103" xfId="18" applyFont="1" applyFill="1" applyBorder="1" applyAlignment="1" applyProtection="1">
      <alignment vertical="top" wrapText="1"/>
    </xf>
    <xf numFmtId="0" fontId="0" fillId="0" borderId="85" xfId="0" applyBorder="1" applyAlignment="1">
      <alignment vertical="top" wrapText="1"/>
    </xf>
    <xf numFmtId="172" fontId="23" fillId="0" borderId="103" xfId="18" applyFont="1" applyFill="1" applyBorder="1" applyAlignment="1" applyProtection="1">
      <alignment horizontal="left" vertical="top" wrapText="1" indent="1"/>
    </xf>
    <xf numFmtId="0" fontId="0" fillId="0" borderId="85" xfId="0" applyBorder="1" applyAlignment="1">
      <alignment horizontal="left" vertical="top" wrapText="1" indent="1"/>
    </xf>
    <xf numFmtId="172" fontId="23" fillId="0" borderId="103" xfId="18" applyFont="1" applyFill="1" applyBorder="1" applyAlignment="1" applyProtection="1">
      <alignment horizontal="left" vertical="top" wrapText="1"/>
    </xf>
    <xf numFmtId="0" fontId="0" fillId="0" borderId="85" xfId="0" applyBorder="1" applyAlignment="1">
      <alignment horizontal="left" vertical="top" wrapText="1"/>
    </xf>
    <xf numFmtId="3" fontId="25" fillId="0" borderId="80" xfId="16" applyFont="1" applyFill="1" applyBorder="1" applyAlignment="1" applyProtection="1">
      <alignment vertical="center"/>
    </xf>
    <xf numFmtId="0" fontId="0" fillId="0" borderId="80" xfId="0" applyBorder="1" applyAlignment="1">
      <alignment vertical="center"/>
    </xf>
    <xf numFmtId="172" fontId="23" fillId="0" borderId="80" xfId="18" applyFont="1" applyFill="1" applyBorder="1" applyAlignment="1" applyProtection="1">
      <alignment horizontal="left" vertical="top" wrapText="1" indent="1"/>
    </xf>
    <xf numFmtId="0" fontId="0" fillId="0" borderId="80" xfId="0" applyBorder="1" applyAlignment="1">
      <alignment horizontal="left" vertical="top" wrapText="1" indent="1"/>
    </xf>
    <xf numFmtId="172" fontId="23" fillId="0" borderId="85" xfId="18" applyFont="1" applyFill="1" applyBorder="1" applyAlignment="1" applyProtection="1">
      <alignment horizontal="left" vertical="top" wrapText="1" indent="1"/>
    </xf>
    <xf numFmtId="172" fontId="23" fillId="0" borderId="80" xfId="18" applyFont="1" applyFill="1" applyBorder="1" applyAlignment="1" applyProtection="1">
      <alignment vertical="top" wrapText="1"/>
    </xf>
    <xf numFmtId="0" fontId="0" fillId="0" borderId="80" xfId="0" applyBorder="1" applyAlignment="1">
      <alignment vertical="top" wrapText="1"/>
    </xf>
    <xf numFmtId="172" fontId="23" fillId="0" borderId="103" xfId="18" applyFont="1" applyFill="1" applyBorder="1" applyAlignment="1" applyProtection="1">
      <alignment horizontal="right" vertical="top" wrapText="1" indent="1"/>
    </xf>
    <xf numFmtId="0" fontId="0" fillId="0" borderId="85" xfId="0" applyBorder="1" applyAlignment="1">
      <alignment horizontal="right" vertical="top" wrapText="1" indent="1"/>
    </xf>
    <xf numFmtId="0" fontId="0" fillId="0" borderId="85" xfId="0" applyBorder="1" applyAlignment="1"/>
    <xf numFmtId="172" fontId="25" fillId="3" borderId="80" xfId="18" applyFont="1" applyFill="1" applyBorder="1" applyAlignment="1" applyProtection="1">
      <alignment horizontal="left" vertical="top" wrapText="1" indent="1"/>
    </xf>
    <xf numFmtId="0" fontId="10" fillId="3" borderId="80" xfId="0" applyFont="1" applyFill="1" applyBorder="1" applyAlignment="1">
      <alignment horizontal="left" vertical="top" wrapText="1" indent="1"/>
    </xf>
    <xf numFmtId="0" fontId="30" fillId="9" borderId="0" xfId="0" applyFont="1" applyFill="1" applyBorder="1" applyAlignment="1" applyProtection="1">
      <alignment horizontal="left"/>
    </xf>
    <xf numFmtId="0" fontId="0" fillId="0" borderId="89" xfId="0" applyBorder="1" applyAlignment="1"/>
    <xf numFmtId="172" fontId="25" fillId="3" borderId="80" xfId="18" applyFont="1" applyFill="1" applyBorder="1" applyAlignment="1" applyProtection="1">
      <alignment horizontal="right" vertical="top" wrapText="1" indent="1"/>
    </xf>
    <xf numFmtId="0" fontId="10" fillId="3" borderId="80" xfId="0" applyFont="1" applyFill="1" applyBorder="1" applyAlignment="1">
      <alignment horizontal="right" vertical="top" wrapText="1" indent="1"/>
    </xf>
    <xf numFmtId="0" fontId="0" fillId="0" borderId="77" xfId="0" applyFill="1" applyBorder="1" applyAlignment="1">
      <alignment horizontal="left" vertical="top" wrapText="1" indent="1"/>
    </xf>
    <xf numFmtId="172" fontId="25" fillId="0" borderId="80" xfId="18" applyFont="1" applyFill="1" applyBorder="1" applyAlignment="1" applyProtection="1">
      <alignment horizontal="right" vertical="top" wrapText="1" indent="1"/>
    </xf>
    <xf numFmtId="0" fontId="10" fillId="0" borderId="80" xfId="0" applyFont="1" applyBorder="1" applyAlignment="1">
      <alignment horizontal="right" vertical="top" wrapText="1" indent="1"/>
    </xf>
    <xf numFmtId="0" fontId="0" fillId="0" borderId="77" xfId="0" applyBorder="1" applyAlignment="1">
      <alignment horizontal="left" vertical="top" wrapText="1" indent="1"/>
    </xf>
    <xf numFmtId="172" fontId="25" fillId="0" borderId="83" xfId="18" applyFont="1" applyFill="1" applyBorder="1" applyAlignment="1" applyProtection="1">
      <alignment vertical="top" wrapText="1"/>
    </xf>
    <xf numFmtId="0" fontId="10" fillId="0" borderId="84" xfId="0" applyFont="1" applyBorder="1" applyAlignment="1">
      <alignment vertical="top" wrapText="1"/>
    </xf>
    <xf numFmtId="172" fontId="25" fillId="0" borderId="103" xfId="18" applyFont="1" applyFill="1" applyBorder="1" applyAlignment="1" applyProtection="1">
      <alignment vertical="top" wrapText="1"/>
    </xf>
    <xf numFmtId="0" fontId="10" fillId="0" borderId="85" xfId="0" applyFont="1" applyBorder="1" applyAlignment="1">
      <alignment vertical="top" wrapText="1"/>
    </xf>
    <xf numFmtId="168" fontId="23" fillId="9" borderId="44" xfId="0" applyNumberFormat="1" applyFont="1" applyFill="1" applyBorder="1" applyAlignment="1" applyProtection="1">
      <alignment horizontal="left" vertical="top" wrapText="1" indent="1"/>
    </xf>
    <xf numFmtId="0" fontId="0" fillId="0" borderId="69" xfId="0" applyBorder="1" applyAlignment="1">
      <alignment horizontal="left" wrapText="1" indent="1"/>
    </xf>
    <xf numFmtId="0" fontId="0" fillId="0" borderId="70" xfId="0" applyBorder="1" applyAlignment="1">
      <alignment horizontal="left" wrapText="1" indent="1"/>
    </xf>
    <xf numFmtId="0" fontId="0" fillId="0" borderId="70" xfId="0" applyBorder="1" applyAlignment="1">
      <alignment horizontal="left" vertical="top" wrapText="1" indent="1"/>
    </xf>
    <xf numFmtId="172" fontId="25" fillId="0" borderId="80" xfId="18" applyFont="1" applyFill="1" applyBorder="1" applyAlignment="1" applyProtection="1">
      <alignment horizontal="left" vertical="top" wrapText="1" indent="1"/>
    </xf>
    <xf numFmtId="0" fontId="10" fillId="0" borderId="80" xfId="0" applyFont="1" applyBorder="1" applyAlignment="1">
      <alignment horizontal="left" vertical="top" wrapText="1" indent="1"/>
    </xf>
    <xf numFmtId="37" fontId="23" fillId="9" borderId="0" xfId="0" applyNumberFormat="1" applyFont="1" applyFill="1" applyBorder="1" applyAlignment="1"/>
    <xf numFmtId="0" fontId="11" fillId="0" borderId="0" xfId="0" applyFont="1" applyAlignment="1"/>
    <xf numFmtId="0" fontId="41" fillId="2" borderId="144" xfId="17" applyNumberFormat="1" applyFont="1" applyFill="1" applyBorder="1" applyAlignment="1" applyProtection="1">
      <alignment vertical="center"/>
    </xf>
    <xf numFmtId="0" fontId="41" fillId="2" borderId="85" xfId="17" applyNumberFormat="1" applyFont="1" applyFill="1" applyBorder="1" applyAlignment="1" applyProtection="1">
      <alignment vertical="center"/>
    </xf>
    <xf numFmtId="0" fontId="41" fillId="2" borderId="146" xfId="17" applyNumberFormat="1" applyFont="1" applyFill="1" applyBorder="1" applyAlignment="1" applyProtection="1">
      <alignment vertical="center"/>
    </xf>
    <xf numFmtId="0" fontId="41" fillId="2" borderId="147" xfId="17" applyNumberFormat="1" applyFont="1" applyFill="1" applyBorder="1" applyAlignment="1" applyProtection="1">
      <alignment vertical="center"/>
    </xf>
    <xf numFmtId="0" fontId="38" fillId="0" borderId="63" xfId="11" applyNumberFormat="1" applyFont="1" applyFill="1" applyBorder="1" applyAlignment="1" applyProtection="1">
      <alignment horizontal="left" vertical="center" indent="1"/>
    </xf>
    <xf numFmtId="0" fontId="0" fillId="0" borderId="164" xfId="0" applyBorder="1" applyAlignment="1">
      <alignment horizontal="left" vertical="center" indent="1"/>
    </xf>
    <xf numFmtId="3" fontId="101" fillId="2" borderId="95" xfId="11" applyFont="1" applyFill="1" applyBorder="1" applyAlignment="1">
      <alignment horizontal="center" vertical="center" wrapText="1"/>
    </xf>
    <xf numFmtId="0" fontId="102" fillId="0" borderId="93" xfId="0" applyFont="1" applyBorder="1" applyAlignment="1">
      <alignment horizontal="center" vertical="center" wrapText="1"/>
    </xf>
    <xf numFmtId="0" fontId="102" fillId="0" borderId="163" xfId="0" applyFont="1" applyBorder="1" applyAlignment="1">
      <alignment horizontal="center" vertical="center" wrapText="1"/>
    </xf>
    <xf numFmtId="0" fontId="25" fillId="9" borderId="0" xfId="0" applyFont="1" applyFill="1" applyAlignment="1" applyProtection="1">
      <alignment horizontal="left" vertical="top"/>
    </xf>
    <xf numFmtId="0" fontId="0" fillId="0" borderId="1" xfId="0" applyBorder="1" applyAlignment="1"/>
    <xf numFmtId="0" fontId="30" fillId="0" borderId="0" xfId="0" applyFont="1" applyFill="1" applyBorder="1" applyAlignment="1" applyProtection="1">
      <alignment horizontal="left" indent="1"/>
    </xf>
    <xf numFmtId="0" fontId="0" fillId="0" borderId="89" xfId="0" applyBorder="1" applyAlignment="1">
      <alignment horizontal="left" indent="1"/>
    </xf>
    <xf numFmtId="0" fontId="86" fillId="9" borderId="80" xfId="0" applyFont="1" applyFill="1" applyBorder="1" applyAlignment="1" applyProtection="1">
      <alignment horizontal="left"/>
    </xf>
    <xf numFmtId="0" fontId="87" fillId="0" borderId="80" xfId="0" applyFont="1" applyBorder="1" applyAlignment="1"/>
    <xf numFmtId="0" fontId="32" fillId="9" borderId="28" xfId="0" applyFont="1" applyFill="1" applyBorder="1" applyAlignment="1" applyProtection="1">
      <alignment horizontal="left"/>
    </xf>
    <xf numFmtId="0" fontId="0" fillId="0" borderId="222" xfId="0" applyBorder="1" applyAlignment="1">
      <alignment horizontal="left"/>
    </xf>
    <xf numFmtId="0" fontId="32" fillId="3" borderId="32" xfId="0" applyFont="1" applyFill="1" applyBorder="1" applyAlignment="1" applyProtection="1">
      <alignment horizontal="right"/>
    </xf>
    <xf numFmtId="0" fontId="0" fillId="0" borderId="32" xfId="0" applyBorder="1" applyAlignment="1">
      <alignment horizontal="right"/>
    </xf>
    <xf numFmtId="0" fontId="0" fillId="0" borderId="222" xfId="0" applyBorder="1" applyAlignment="1"/>
    <xf numFmtId="0" fontId="23" fillId="9" borderId="82" xfId="0" applyFont="1" applyFill="1" applyBorder="1" applyAlignment="1" applyProtection="1">
      <alignment horizontal="left"/>
    </xf>
    <xf numFmtId="0" fontId="0" fillId="0" borderId="82" xfId="0" applyBorder="1" applyAlignment="1"/>
    <xf numFmtId="0" fontId="32" fillId="3" borderId="98" xfId="0" applyFont="1" applyFill="1" applyBorder="1" applyAlignment="1" applyProtection="1">
      <alignment horizontal="right"/>
    </xf>
    <xf numFmtId="0" fontId="0" fillId="0" borderId="98" xfId="0" applyBorder="1" applyAlignment="1">
      <alignment horizontal="right"/>
    </xf>
    <xf numFmtId="0" fontId="50" fillId="9" borderId="0" xfId="0" applyFont="1" applyFill="1" applyAlignment="1" applyProtection="1">
      <alignment horizontal="center" wrapText="1"/>
    </xf>
    <xf numFmtId="0" fontId="50" fillId="9" borderId="112" xfId="0" applyFont="1" applyFill="1" applyBorder="1" applyAlignment="1" applyProtection="1">
      <alignment horizontal="center" wrapText="1"/>
    </xf>
    <xf numFmtId="0" fontId="0" fillId="0" borderId="89" xfId="0" applyFill="1" applyBorder="1" applyAlignment="1">
      <alignment horizontal="left" indent="1"/>
    </xf>
    <xf numFmtId="0" fontId="30" fillId="0" borderId="89" xfId="0" applyFont="1" applyFill="1" applyBorder="1" applyAlignment="1" applyProtection="1">
      <alignment horizontal="left" indent="1"/>
    </xf>
    <xf numFmtId="0" fontId="30" fillId="3" borderId="196" xfId="0" applyFont="1" applyFill="1" applyBorder="1" applyAlignment="1" applyProtection="1">
      <alignment horizontal="left" indent="1"/>
    </xf>
    <xf numFmtId="0" fontId="30" fillId="3" borderId="89" xfId="0" applyFont="1" applyFill="1" applyBorder="1" applyAlignment="1" applyProtection="1">
      <alignment horizontal="left" indent="1"/>
    </xf>
    <xf numFmtId="0" fontId="30" fillId="3" borderId="0" xfId="0" applyFont="1" applyFill="1" applyBorder="1" applyAlignment="1" applyProtection="1">
      <alignment horizontal="left" indent="1"/>
    </xf>
    <xf numFmtId="0" fontId="0" fillId="3" borderId="89" xfId="0" applyFill="1" applyBorder="1" applyAlignment="1">
      <alignment horizontal="left" indent="1"/>
    </xf>
    <xf numFmtId="38" fontId="23" fillId="5" borderId="129" xfId="0" applyNumberFormat="1" applyFont="1" applyFill="1" applyBorder="1" applyAlignment="1" applyProtection="1">
      <alignment horizontal="right" wrapText="1" indent="2"/>
      <protection locked="0"/>
    </xf>
    <xf numFmtId="38" fontId="23" fillId="0" borderId="129" xfId="0" applyNumberFormat="1" applyFont="1" applyBorder="1" applyAlignment="1" applyProtection="1">
      <alignment horizontal="right" wrapText="1" indent="2"/>
      <protection locked="0"/>
    </xf>
    <xf numFmtId="38" fontId="23" fillId="5" borderId="80" xfId="0" applyNumberFormat="1" applyFont="1" applyFill="1" applyBorder="1" applyAlignment="1" applyProtection="1">
      <alignment horizontal="right" wrapText="1" indent="2"/>
      <protection locked="0"/>
    </xf>
    <xf numFmtId="38" fontId="23" fillId="0" borderId="80" xfId="0" applyNumberFormat="1" applyFont="1" applyBorder="1" applyAlignment="1" applyProtection="1">
      <alignment horizontal="right" wrapText="1" indent="2"/>
      <protection locked="0"/>
    </xf>
    <xf numFmtId="6" fontId="25" fillId="9" borderId="94" xfId="0" applyNumberFormat="1" applyFont="1" applyFill="1" applyBorder="1" applyAlignment="1" applyProtection="1">
      <alignment horizontal="right" indent="2"/>
    </xf>
    <xf numFmtId="6" fontId="25" fillId="0" borderId="94" xfId="0" applyNumberFormat="1" applyFont="1" applyBorder="1" applyAlignment="1">
      <alignment horizontal="right" indent="2"/>
    </xf>
    <xf numFmtId="6" fontId="25" fillId="0" borderId="94" xfId="0" applyNumberFormat="1" applyFont="1" applyFill="1" applyBorder="1" applyAlignment="1" applyProtection="1">
      <alignment horizontal="right" indent="2"/>
    </xf>
    <xf numFmtId="6" fontId="25" fillId="0" borderId="94" xfId="0" applyNumberFormat="1" applyFont="1" applyFill="1" applyBorder="1" applyAlignment="1">
      <alignment horizontal="right" indent="2"/>
    </xf>
    <xf numFmtId="0" fontId="25" fillId="9" borderId="69" xfId="0" applyFont="1" applyFill="1" applyBorder="1" applyAlignment="1" applyProtection="1">
      <alignment horizontal="right" wrapText="1"/>
    </xf>
    <xf numFmtId="0" fontId="0" fillId="0" borderId="161" xfId="0" applyBorder="1" applyAlignment="1"/>
    <xf numFmtId="6" fontId="38" fillId="5" borderId="105" xfId="0" quotePrefix="1" applyNumberFormat="1" applyFont="1" applyFill="1" applyBorder="1" applyAlignment="1" applyProtection="1">
      <alignment horizontal="right" wrapText="1"/>
      <protection locked="0"/>
    </xf>
    <xf numFmtId="0" fontId="94" fillId="0" borderId="105" xfId="0" applyFont="1" applyBorder="1" applyAlignment="1" applyProtection="1">
      <alignment horizontal="right" wrapText="1"/>
      <protection locked="0"/>
    </xf>
    <xf numFmtId="6" fontId="38" fillId="5" borderId="80" xfId="0" applyNumberFormat="1" applyFont="1" applyFill="1" applyBorder="1" applyAlignment="1" applyProtection="1">
      <alignment horizontal="right" wrapText="1"/>
      <protection locked="0"/>
    </xf>
    <xf numFmtId="0" fontId="94" fillId="0" borderId="80" xfId="0" applyFont="1" applyBorder="1" applyAlignment="1" applyProtection="1">
      <alignment horizontal="right" wrapText="1"/>
      <protection locked="0"/>
    </xf>
    <xf numFmtId="6" fontId="38" fillId="5" borderId="129" xfId="0" applyNumberFormat="1" applyFont="1" applyFill="1" applyBorder="1" applyAlignment="1" applyProtection="1">
      <alignment horizontal="right" wrapText="1"/>
      <protection locked="0"/>
    </xf>
    <xf numFmtId="0" fontId="94" fillId="0" borderId="129" xfId="0" applyFont="1" applyBorder="1" applyAlignment="1" applyProtection="1">
      <alignment horizontal="right" wrapText="1"/>
      <protection locked="0"/>
    </xf>
    <xf numFmtId="6" fontId="23" fillId="5" borderId="105" xfId="0" applyNumberFormat="1" applyFont="1" applyFill="1" applyBorder="1" applyAlignment="1" applyProtection="1">
      <alignment horizontal="right" wrapText="1" indent="2"/>
      <protection locked="0"/>
    </xf>
    <xf numFmtId="6" fontId="23" fillId="0" borderId="105" xfId="0" applyNumberFormat="1" applyFont="1" applyBorder="1" applyAlignment="1" applyProtection="1">
      <alignment horizontal="right" wrapText="1" indent="2"/>
      <protection locked="0"/>
    </xf>
    <xf numFmtId="6" fontId="23" fillId="0" borderId="80" xfId="0" applyNumberFormat="1" applyFont="1" applyFill="1" applyBorder="1" applyAlignment="1" applyProtection="1">
      <alignment horizontal="right" wrapText="1" indent="2"/>
    </xf>
    <xf numFmtId="38" fontId="23" fillId="0" borderId="80" xfId="0" applyNumberFormat="1" applyFont="1" applyFill="1" applyBorder="1" applyAlignment="1" applyProtection="1">
      <alignment horizontal="right" wrapText="1" indent="2"/>
    </xf>
    <xf numFmtId="6" fontId="23" fillId="0" borderId="192" xfId="0" applyNumberFormat="1" applyFont="1" applyFill="1" applyBorder="1" applyAlignment="1" applyProtection="1">
      <alignment horizontal="right" wrapText="1" indent="2"/>
    </xf>
    <xf numFmtId="6" fontId="23" fillId="0" borderId="105" xfId="0" applyNumberFormat="1" applyFont="1" applyFill="1" applyBorder="1" applyAlignment="1" applyProtection="1">
      <alignment horizontal="right" wrapText="1" indent="2"/>
    </xf>
    <xf numFmtId="6" fontId="23" fillId="5" borderId="80" xfId="0" applyNumberFormat="1" applyFont="1" applyFill="1" applyBorder="1" applyAlignment="1" applyProtection="1">
      <alignment horizontal="right" wrapText="1" indent="2"/>
      <protection locked="0"/>
    </xf>
    <xf numFmtId="6" fontId="23" fillId="0" borderId="80" xfId="0" applyNumberFormat="1" applyFont="1" applyBorder="1" applyAlignment="1" applyProtection="1">
      <alignment horizontal="right" wrapText="1" indent="2"/>
      <protection locked="0"/>
    </xf>
    <xf numFmtId="0" fontId="25" fillId="9" borderId="80" xfId="0" applyFont="1" applyFill="1" applyBorder="1" applyAlignment="1" applyProtection="1">
      <alignment horizontal="right" wrapText="1"/>
    </xf>
    <xf numFmtId="0" fontId="0" fillId="0" borderId="80" xfId="0" applyBorder="1" applyAlignment="1">
      <alignment horizontal="right" wrapText="1"/>
    </xf>
    <xf numFmtId="0" fontId="94" fillId="0" borderId="80" xfId="0" applyFont="1" applyBorder="1" applyAlignment="1" applyProtection="1">
      <alignment wrapText="1"/>
      <protection locked="0"/>
    </xf>
    <xf numFmtId="6" fontId="25" fillId="0" borderId="191" xfId="0" applyNumberFormat="1" applyFont="1" applyFill="1" applyBorder="1" applyAlignment="1" applyProtection="1">
      <alignment horizontal="right" wrapText="1"/>
    </xf>
    <xf numFmtId="0" fontId="10" fillId="0" borderId="192" xfId="0" applyFont="1" applyFill="1" applyBorder="1" applyAlignment="1" applyProtection="1">
      <alignment wrapText="1"/>
    </xf>
    <xf numFmtId="6" fontId="38" fillId="5" borderId="83" xfId="0" applyNumberFormat="1" applyFont="1" applyFill="1" applyBorder="1" applyAlignment="1" applyProtection="1">
      <alignment horizontal="right" wrapText="1"/>
      <protection locked="0"/>
    </xf>
    <xf numFmtId="0" fontId="94" fillId="0" borderId="84" xfId="0" applyFont="1" applyBorder="1" applyAlignment="1" applyProtection="1">
      <alignment horizontal="right" wrapText="1"/>
      <protection locked="0"/>
    </xf>
    <xf numFmtId="0" fontId="25" fillId="9" borderId="0" xfId="0" applyFont="1" applyFill="1" applyAlignment="1" applyProtection="1">
      <alignment horizontal="right" wrapText="1"/>
    </xf>
    <xf numFmtId="0" fontId="0" fillId="0" borderId="0" xfId="0" applyAlignment="1">
      <alignment horizontal="right" wrapText="1"/>
    </xf>
    <xf numFmtId="168" fontId="27" fillId="9" borderId="104" xfId="0" applyNumberFormat="1" applyFont="1" applyFill="1" applyBorder="1" applyAlignment="1" applyProtection="1">
      <alignment horizontal="center" wrapText="1"/>
    </xf>
    <xf numFmtId="0" fontId="0" fillId="0" borderId="104" xfId="0" applyBorder="1" applyAlignment="1">
      <alignment wrapText="1"/>
    </xf>
    <xf numFmtId="168" fontId="27" fillId="0" borderId="104" xfId="0" applyNumberFormat="1" applyFont="1" applyFill="1" applyBorder="1" applyAlignment="1" applyProtection="1">
      <alignment horizontal="center" wrapText="1"/>
    </xf>
    <xf numFmtId="0" fontId="0" fillId="0" borderId="104" xfId="0" applyBorder="1" applyAlignment="1">
      <alignment horizontal="center" wrapText="1"/>
    </xf>
    <xf numFmtId="38" fontId="23" fillId="0" borderId="129" xfId="0" applyNumberFormat="1" applyFont="1" applyFill="1" applyBorder="1" applyAlignment="1" applyProtection="1">
      <alignment horizontal="right" wrapText="1" indent="2"/>
    </xf>
    <xf numFmtId="0" fontId="0" fillId="0" borderId="0" xfId="0" applyBorder="1" applyAlignment="1">
      <alignment horizontal="left" indent="1"/>
    </xf>
    <xf numFmtId="0" fontId="0" fillId="3" borderId="32" xfId="0" applyFill="1" applyBorder="1" applyAlignment="1">
      <alignment horizontal="right"/>
    </xf>
    <xf numFmtId="0" fontId="0" fillId="0" borderId="28" xfId="0" applyBorder="1" applyAlignment="1"/>
    <xf numFmtId="168" fontId="23" fillId="9" borderId="0" xfId="0" applyNumberFormat="1" applyFont="1" applyFill="1" applyAlignment="1" applyProtection="1">
      <alignment horizontal="left"/>
    </xf>
    <xf numFmtId="0" fontId="25" fillId="9" borderId="82" xfId="0" applyFont="1" applyFill="1" applyBorder="1" applyAlignment="1" applyProtection="1">
      <alignment horizontal="center"/>
    </xf>
    <xf numFmtId="0" fontId="0" fillId="0" borderId="82" xfId="0" applyBorder="1" applyAlignment="1">
      <alignment horizontal="center"/>
    </xf>
    <xf numFmtId="168" fontId="100" fillId="9" borderId="0" xfId="0" applyNumberFormat="1" applyFont="1" applyFill="1" applyBorder="1" applyAlignment="1" applyProtection="1">
      <alignment horizontal="center"/>
    </xf>
    <xf numFmtId="0" fontId="87" fillId="0" borderId="0" xfId="0" applyFont="1" applyAlignment="1">
      <alignment horizontal="center"/>
    </xf>
    <xf numFmtId="0" fontId="27" fillId="9" borderId="0" xfId="0" applyFont="1" applyFill="1" applyAlignment="1" applyProtection="1">
      <alignment vertical="center"/>
    </xf>
    <xf numFmtId="0" fontId="0" fillId="0" borderId="0" xfId="0" applyAlignment="1">
      <alignment vertical="center"/>
    </xf>
    <xf numFmtId="0" fontId="54" fillId="9" borderId="67" xfId="0" applyFont="1" applyFill="1" applyBorder="1" applyAlignment="1" applyProtection="1">
      <alignment horizontal="left"/>
    </xf>
    <xf numFmtId="0" fontId="0" fillId="0" borderId="67" xfId="0" applyBorder="1" applyAlignment="1">
      <alignment horizontal="left"/>
    </xf>
    <xf numFmtId="0" fontId="23" fillId="9" borderId="112" xfId="0" applyFont="1" applyFill="1" applyBorder="1" applyAlignment="1" applyProtection="1">
      <alignment horizontal="center" wrapText="1"/>
    </xf>
    <xf numFmtId="0" fontId="0" fillId="0" borderId="112" xfId="0" applyBorder="1" applyAlignment="1">
      <alignment horizontal="center" wrapText="1"/>
    </xf>
    <xf numFmtId="168" fontId="23" fillId="9" borderId="44" xfId="0" applyNumberFormat="1" applyFont="1" applyFill="1" applyBorder="1" applyAlignment="1" applyProtection="1">
      <alignment horizontal="left" vertical="top" wrapText="1"/>
    </xf>
    <xf numFmtId="168" fontId="23" fillId="9" borderId="69" xfId="0" applyNumberFormat="1" applyFont="1" applyFill="1" applyBorder="1" applyAlignment="1" applyProtection="1">
      <alignment horizontal="left" vertical="top" wrapText="1"/>
    </xf>
    <xf numFmtId="0" fontId="0" fillId="0" borderId="69" xfId="0" applyBorder="1" applyAlignment="1"/>
    <xf numFmtId="0" fontId="0" fillId="0" borderId="70" xfId="0" applyBorder="1" applyAlignment="1"/>
    <xf numFmtId="0" fontId="74" fillId="0" borderId="44" xfId="0" applyFont="1" applyBorder="1" applyAlignment="1" applyProtection="1">
      <alignment horizontal="left" vertical="top" wrapText="1"/>
    </xf>
    <xf numFmtId="0" fontId="74" fillId="0" borderId="69" xfId="0" applyFont="1" applyBorder="1" applyAlignment="1" applyProtection="1">
      <alignment horizontal="left" vertical="top" wrapText="1"/>
    </xf>
    <xf numFmtId="0" fontId="0" fillId="0" borderId="69" xfId="0" applyBorder="1" applyAlignment="1" applyProtection="1"/>
    <xf numFmtId="0" fontId="0" fillId="0" borderId="70" xfId="0" applyBorder="1" applyAlignment="1" applyProtection="1"/>
    <xf numFmtId="168" fontId="23" fillId="9" borderId="44" xfId="0" applyNumberFormat="1" applyFont="1" applyFill="1" applyBorder="1" applyAlignment="1" applyProtection="1">
      <alignment horizontal="left" wrapText="1"/>
    </xf>
    <xf numFmtId="0" fontId="0" fillId="0" borderId="70" xfId="0" applyBorder="1" applyAlignment="1">
      <alignment vertical="top"/>
    </xf>
    <xf numFmtId="168" fontId="23" fillId="9" borderId="62" xfId="0" applyNumberFormat="1" applyFont="1" applyFill="1" applyBorder="1" applyAlignment="1" applyProtection="1">
      <alignment horizontal="left" vertical="top" wrapText="1"/>
    </xf>
    <xf numFmtId="0" fontId="0" fillId="0" borderId="66" xfId="0" applyBorder="1" applyAlignment="1"/>
    <xf numFmtId="0" fontId="0" fillId="0" borderId="2" xfId="0" applyBorder="1" applyAlignment="1"/>
    <xf numFmtId="0" fontId="0" fillId="0" borderId="63" xfId="0" applyBorder="1" applyAlignment="1"/>
    <xf numFmtId="0" fontId="0" fillId="0" borderId="88" xfId="0" applyBorder="1" applyAlignment="1"/>
    <xf numFmtId="168" fontId="25" fillId="9" borderId="108" xfId="0" applyNumberFormat="1" applyFont="1" applyFill="1" applyBorder="1" applyAlignment="1" applyProtection="1">
      <alignment horizontal="center" wrapText="1"/>
    </xf>
    <xf numFmtId="0" fontId="0" fillId="0" borderId="108" xfId="0" applyBorder="1" applyAlignment="1">
      <alignment horizontal="center" wrapText="1"/>
    </xf>
    <xf numFmtId="0" fontId="30" fillId="9" borderId="86" xfId="0" applyFont="1" applyFill="1" applyBorder="1" applyAlignment="1" applyProtection="1">
      <alignment horizontal="right"/>
    </xf>
    <xf numFmtId="0" fontId="0" fillId="0" borderId="86" xfId="0" applyBorder="1" applyAlignment="1">
      <alignment horizontal="right"/>
    </xf>
    <xf numFmtId="0" fontId="86" fillId="3" borderId="80" xfId="0" applyFont="1" applyFill="1" applyBorder="1" applyAlignment="1" applyProtection="1">
      <alignment horizontal="left"/>
    </xf>
    <xf numFmtId="0" fontId="87" fillId="3" borderId="80" xfId="0" applyFont="1" applyFill="1" applyBorder="1" applyAlignment="1"/>
    <xf numFmtId="0" fontId="30" fillId="0" borderId="104" xfId="0" applyFont="1" applyFill="1" applyBorder="1" applyAlignment="1" applyProtection="1">
      <alignment horizontal="left" indent="1"/>
    </xf>
    <xf numFmtId="0" fontId="0" fillId="0" borderId="104" xfId="0" applyBorder="1" applyAlignment="1">
      <alignment horizontal="left" indent="1"/>
    </xf>
    <xf numFmtId="0" fontId="48" fillId="0" borderId="0" xfId="0" applyFont="1" applyAlignment="1">
      <alignment horizontal="center"/>
    </xf>
    <xf numFmtId="0" fontId="0" fillId="0" borderId="0" xfId="0" applyAlignment="1">
      <alignment horizontal="center"/>
    </xf>
    <xf numFmtId="0" fontId="25" fillId="0" borderId="0" xfId="0" applyFont="1" applyAlignment="1">
      <alignment horizontal="center"/>
    </xf>
    <xf numFmtId="0" fontId="23" fillId="5" borderId="44" xfId="0" applyFont="1" applyFill="1" applyBorder="1" applyAlignment="1" applyProtection="1">
      <alignment horizontal="left" wrapText="1" indent="1"/>
      <protection locked="0"/>
    </xf>
    <xf numFmtId="0" fontId="23" fillId="5" borderId="70" xfId="0" applyFont="1" applyFill="1" applyBorder="1" applyAlignment="1" applyProtection="1">
      <alignment horizontal="left" wrapText="1" indent="1"/>
      <protection locked="0"/>
    </xf>
    <xf numFmtId="0" fontId="23" fillId="5" borderId="44" xfId="0" quotePrefix="1" applyFont="1" applyFill="1" applyBorder="1" applyAlignment="1" applyProtection="1">
      <alignment horizontal="left" wrapText="1" indent="1"/>
      <protection locked="0"/>
    </xf>
    <xf numFmtId="0" fontId="23" fillId="5" borderId="69" xfId="0" applyFont="1" applyFill="1" applyBorder="1" applyAlignment="1" applyProtection="1">
      <alignment horizontal="left" wrapText="1" indent="1"/>
      <protection locked="0"/>
    </xf>
    <xf numFmtId="6" fontId="23" fillId="5" borderId="44" xfId="0" applyNumberFormat="1" applyFont="1" applyFill="1" applyBorder="1" applyAlignment="1" applyProtection="1">
      <alignment horizontal="right" indent="2"/>
      <protection locked="0"/>
    </xf>
    <xf numFmtId="0" fontId="0" fillId="0" borderId="70" xfId="0" applyBorder="1" applyAlignment="1" applyProtection="1">
      <alignment horizontal="right" indent="2"/>
      <protection locked="0"/>
    </xf>
    <xf numFmtId="184" fontId="23" fillId="0" borderId="44" xfId="0" applyNumberFormat="1" applyFont="1" applyFill="1" applyBorder="1" applyAlignment="1" applyProtection="1">
      <alignment horizontal="right" indent="2"/>
    </xf>
    <xf numFmtId="0" fontId="0" fillId="0" borderId="70" xfId="0" applyFill="1" applyBorder="1" applyAlignment="1" applyProtection="1">
      <alignment horizontal="right" indent="2"/>
    </xf>
    <xf numFmtId="0" fontId="23" fillId="0" borderId="62" xfId="0" applyFont="1" applyBorder="1" applyAlignment="1">
      <alignment horizontal="center"/>
    </xf>
    <xf numFmtId="0" fontId="23" fillId="0" borderId="42" xfId="0" applyFont="1" applyBorder="1"/>
    <xf numFmtId="0" fontId="23" fillId="0" borderId="66" xfId="0" applyFont="1" applyBorder="1"/>
    <xf numFmtId="0" fontId="23" fillId="0" borderId="63" xfId="0" applyFont="1" applyBorder="1" applyAlignment="1">
      <alignment horizontal="center" wrapText="1"/>
    </xf>
    <xf numFmtId="0" fontId="23" fillId="0" borderId="88" xfId="0" applyFont="1" applyBorder="1"/>
    <xf numFmtId="0" fontId="23" fillId="0" borderId="41" xfId="0" applyFont="1" applyBorder="1"/>
    <xf numFmtId="0" fontId="23" fillId="0" borderId="44" xfId="0" applyFont="1" applyFill="1" applyBorder="1" applyAlignment="1" applyProtection="1">
      <alignment horizontal="left" wrapText="1" indent="1"/>
    </xf>
    <xf numFmtId="0" fontId="23" fillId="0" borderId="70" xfId="0" applyFont="1" applyFill="1" applyBorder="1" applyAlignment="1" applyProtection="1">
      <alignment horizontal="left" wrapText="1" indent="1"/>
    </xf>
    <xf numFmtId="0" fontId="23" fillId="0" borderId="44" xfId="0" quotePrefix="1" applyFont="1" applyFill="1" applyBorder="1" applyAlignment="1" applyProtection="1">
      <alignment horizontal="left" wrapText="1" indent="1"/>
    </xf>
    <xf numFmtId="0" fontId="23" fillId="0" borderId="69" xfId="0" applyFont="1" applyFill="1" applyBorder="1" applyAlignment="1" applyProtection="1">
      <alignment horizontal="left" wrapText="1" indent="1"/>
    </xf>
    <xf numFmtId="0" fontId="23" fillId="5" borderId="44" xfId="0" applyFont="1" applyFill="1" applyBorder="1" applyAlignment="1" applyProtection="1">
      <alignment horizontal="left" indent="1"/>
      <protection locked="0"/>
    </xf>
    <xf numFmtId="0" fontId="23" fillId="5" borderId="70" xfId="0" applyFont="1" applyFill="1" applyBorder="1" applyAlignment="1" applyProtection="1">
      <alignment horizontal="left" indent="1"/>
      <protection locked="0"/>
    </xf>
    <xf numFmtId="6" fontId="23" fillId="0" borderId="44" xfId="0" applyNumberFormat="1" applyFont="1" applyBorder="1" applyAlignment="1">
      <alignment horizontal="right" indent="2"/>
    </xf>
    <xf numFmtId="0" fontId="0" fillId="0" borderId="70" xfId="0" applyBorder="1" applyAlignment="1">
      <alignment horizontal="right" indent="2"/>
    </xf>
    <xf numFmtId="6" fontId="23" fillId="5" borderId="70" xfId="0" applyNumberFormat="1" applyFont="1" applyFill="1" applyBorder="1" applyAlignment="1" applyProtection="1">
      <alignment horizontal="right" indent="2"/>
      <protection locked="0"/>
    </xf>
    <xf numFmtId="0" fontId="52" fillId="0" borderId="0" xfId="0" applyFont="1" applyAlignment="1">
      <alignment horizontal="center"/>
    </xf>
    <xf numFmtId="0" fontId="23" fillId="0" borderId="71" xfId="0" applyFont="1" applyBorder="1" applyAlignment="1">
      <alignment horizontal="center"/>
    </xf>
    <xf numFmtId="0" fontId="23" fillId="0" borderId="71" xfId="0" applyFont="1" applyBorder="1"/>
    <xf numFmtId="0" fontId="38" fillId="0" borderId="71" xfId="0" applyFont="1" applyBorder="1" applyAlignment="1">
      <alignment horizontal="center" wrapText="1"/>
    </xf>
    <xf numFmtId="6" fontId="23" fillId="0" borderId="44" xfId="0" applyNumberFormat="1" applyFont="1" applyFill="1" applyBorder="1" applyAlignment="1" applyProtection="1">
      <alignment horizontal="right" indent="2"/>
    </xf>
    <xf numFmtId="6" fontId="23" fillId="0" borderId="70" xfId="0" applyNumberFormat="1" applyFont="1" applyFill="1" applyBorder="1" applyAlignment="1" applyProtection="1">
      <alignment horizontal="right" indent="2"/>
    </xf>
    <xf numFmtId="0" fontId="23" fillId="0" borderId="0" xfId="0" applyFont="1"/>
    <xf numFmtId="0" fontId="73" fillId="0" borderId="0" xfId="0" applyFont="1" applyAlignment="1">
      <alignment horizontal="center"/>
    </xf>
    <xf numFmtId="0" fontId="25" fillId="0" borderId="0" xfId="0" applyFont="1" applyAlignment="1">
      <alignment horizontal="left" indent="1"/>
    </xf>
    <xf numFmtId="0" fontId="10" fillId="0" borderId="0" xfId="0" applyFont="1" applyAlignment="1">
      <alignment horizontal="left" indent="1"/>
    </xf>
    <xf numFmtId="0" fontId="38" fillId="5" borderId="44" xfId="0" applyNumberFormat="1" applyFont="1" applyFill="1" applyBorder="1" applyAlignment="1" applyProtection="1">
      <alignment horizontal="left" indent="1"/>
      <protection locked="0"/>
    </xf>
    <xf numFmtId="0" fontId="0" fillId="0" borderId="69" xfId="0" applyNumberFormat="1" applyBorder="1" applyAlignment="1" applyProtection="1">
      <alignment horizontal="left" indent="1"/>
      <protection locked="0"/>
    </xf>
    <xf numFmtId="0" fontId="0" fillId="0" borderId="70" xfId="0" applyNumberFormat="1" applyBorder="1" applyAlignment="1" applyProtection="1">
      <alignment horizontal="left" indent="1"/>
      <protection locked="0"/>
    </xf>
    <xf numFmtId="0" fontId="38" fillId="0" borderId="0" xfId="0" applyFont="1" applyAlignment="1"/>
    <xf numFmtId="0" fontId="38" fillId="0" borderId="1" xfId="0" applyFont="1" applyBorder="1" applyAlignment="1"/>
    <xf numFmtId="0" fontId="23" fillId="0" borderId="42" xfId="0" applyFont="1" applyBorder="1" applyAlignment="1">
      <alignment horizontal="center"/>
    </xf>
    <xf numFmtId="0" fontId="23" fillId="0" borderId="66" xfId="0" applyFont="1" applyBorder="1" applyAlignment="1">
      <alignment horizontal="center"/>
    </xf>
    <xf numFmtId="49" fontId="23" fillId="5" borderId="44" xfId="9" applyNumberFormat="1" applyFont="1" applyFill="1" applyBorder="1" applyAlignment="1" applyProtection="1">
      <alignment horizontal="left" wrapText="1" indent="1"/>
      <protection locked="0"/>
    </xf>
    <xf numFmtId="49" fontId="23" fillId="5" borderId="69" xfId="9" applyNumberFormat="1" applyFont="1" applyFill="1" applyBorder="1" applyAlignment="1" applyProtection="1">
      <alignment horizontal="left" wrapText="1" indent="1"/>
      <protection locked="0"/>
    </xf>
    <xf numFmtId="49" fontId="23" fillId="5" borderId="70" xfId="9" applyNumberFormat="1" applyFont="1" applyFill="1" applyBorder="1" applyAlignment="1" applyProtection="1">
      <alignment horizontal="left" wrapText="1" indent="1"/>
      <protection locked="0"/>
    </xf>
    <xf numFmtId="38" fontId="23" fillId="5" borderId="71" xfId="0" applyNumberFormat="1" applyFont="1" applyFill="1" applyBorder="1" applyAlignment="1" applyProtection="1">
      <alignment horizontal="right" indent="2"/>
      <protection locked="0"/>
    </xf>
    <xf numFmtId="6" fontId="23" fillId="5" borderId="71" xfId="0" applyNumberFormat="1" applyFont="1" applyFill="1" applyBorder="1" applyAlignment="1" applyProtection="1">
      <alignment horizontal="right" indent="2"/>
      <protection locked="0"/>
    </xf>
    <xf numFmtId="0" fontId="25" fillId="0" borderId="0" xfId="3" applyFont="1" applyAlignment="1">
      <alignment horizontal="center"/>
    </xf>
    <xf numFmtId="0" fontId="50" fillId="0" borderId="183" xfId="49" applyFont="1" applyBorder="1" applyAlignment="1">
      <alignment horizontal="center" wrapText="1"/>
    </xf>
    <xf numFmtId="0" fontId="94" fillId="0" borderId="185" xfId="0" applyFont="1" applyBorder="1" applyAlignment="1">
      <alignment horizontal="center" wrapText="1"/>
    </xf>
    <xf numFmtId="0" fontId="10" fillId="0" borderId="0" xfId="0" applyFont="1" applyAlignment="1">
      <alignment horizontal="center"/>
    </xf>
    <xf numFmtId="0" fontId="50" fillId="0" borderId="105" xfId="49" applyFont="1" applyBorder="1" applyAlignment="1">
      <alignment horizontal="center" wrapText="1"/>
    </xf>
    <xf numFmtId="0" fontId="94" fillId="0" borderId="129" xfId="0" applyFont="1" applyBorder="1" applyAlignment="1">
      <alignment horizontal="center" wrapText="1"/>
    </xf>
    <xf numFmtId="0" fontId="50" fillId="0" borderId="156" xfId="49" applyFont="1" applyBorder="1" applyAlignment="1">
      <alignment horizontal="center" wrapText="1"/>
    </xf>
    <xf numFmtId="0" fontId="94" fillId="0" borderId="130" xfId="0" applyFont="1" applyBorder="1" applyAlignment="1">
      <alignment horizontal="center" wrapText="1"/>
    </xf>
    <xf numFmtId="0" fontId="50" fillId="0" borderId="0" xfId="3" applyFont="1" applyAlignment="1">
      <alignment horizontal="center"/>
    </xf>
    <xf numFmtId="0" fontId="71" fillId="0" borderId="0" xfId="0" applyFont="1" applyAlignment="1">
      <alignment horizontal="center"/>
    </xf>
    <xf numFmtId="0" fontId="25" fillId="0" borderId="71" xfId="49" applyFont="1" applyBorder="1" applyAlignment="1">
      <alignment horizontal="center"/>
    </xf>
    <xf numFmtId="0" fontId="0" fillId="0" borderId="71" xfId="0" applyBorder="1" applyAlignment="1">
      <alignment horizontal="center"/>
    </xf>
    <xf numFmtId="0" fontId="50" fillId="0" borderId="181" xfId="49" applyFont="1" applyBorder="1" applyAlignment="1">
      <alignment horizontal="center" wrapText="1"/>
    </xf>
    <xf numFmtId="0" fontId="50" fillId="0" borderId="182" xfId="49" applyFont="1" applyBorder="1" applyAlignment="1">
      <alignment horizontal="center" wrapText="1"/>
    </xf>
    <xf numFmtId="0" fontId="50" fillId="0" borderId="158" xfId="49" applyFont="1" applyBorder="1" applyAlignment="1">
      <alignment horizontal="center" wrapText="1"/>
    </xf>
    <xf numFmtId="0" fontId="94" fillId="0" borderId="128" xfId="0" applyFont="1" applyBorder="1" applyAlignment="1">
      <alignment horizontal="center" wrapText="1"/>
    </xf>
    <xf numFmtId="0" fontId="23" fillId="0" borderId="44" xfId="0" applyFont="1" applyBorder="1" applyAlignment="1">
      <alignment horizontal="right" wrapText="1" indent="1"/>
    </xf>
    <xf numFmtId="0" fontId="23" fillId="0" borderId="69" xfId="0" applyFont="1" applyBorder="1" applyAlignment="1">
      <alignment horizontal="right" wrapText="1" indent="1"/>
    </xf>
    <xf numFmtId="0" fontId="23" fillId="0" borderId="70" xfId="0" applyFont="1" applyBorder="1" applyAlignment="1">
      <alignment horizontal="right" wrapText="1" indent="1"/>
    </xf>
    <xf numFmtId="6" fontId="23" fillId="0" borderId="70" xfId="0" applyNumberFormat="1" applyFont="1" applyBorder="1" applyAlignment="1">
      <alignment horizontal="right" indent="2"/>
    </xf>
    <xf numFmtId="0" fontId="23" fillId="0" borderId="71" xfId="0" applyFont="1" applyBorder="1" applyAlignment="1">
      <alignment horizontal="left" wrapText="1" indent="1"/>
    </xf>
    <xf numFmtId="0" fontId="25" fillId="0" borderId="0" xfId="3" applyFont="1" applyAlignment="1">
      <alignment horizontal="left" wrapText="1"/>
    </xf>
    <xf numFmtId="0" fontId="0" fillId="0" borderId="0" xfId="0" applyAlignment="1">
      <alignment horizontal="left" wrapText="1"/>
    </xf>
    <xf numFmtId="0" fontId="0" fillId="0" borderId="0" xfId="0" applyBorder="1" applyAlignment="1">
      <alignment horizontal="left" wrapText="1"/>
    </xf>
    <xf numFmtId="0" fontId="25" fillId="0" borderId="0" xfId="3" applyFont="1" applyBorder="1" applyAlignment="1">
      <alignment horizontal="left" wrapText="1"/>
    </xf>
    <xf numFmtId="0" fontId="10" fillId="0" borderId="0" xfId="0" applyFont="1" applyBorder="1" applyAlignment="1">
      <alignment horizontal="left" wrapText="1"/>
    </xf>
    <xf numFmtId="0" fontId="10" fillId="0" borderId="41" xfId="0" applyFont="1" applyBorder="1" applyAlignment="1">
      <alignment horizontal="left" wrapText="1"/>
    </xf>
    <xf numFmtId="0" fontId="50" fillId="0" borderId="93" xfId="49" applyFont="1" applyBorder="1" applyAlignment="1">
      <alignment horizontal="center" wrapText="1"/>
    </xf>
    <xf numFmtId="0" fontId="50" fillId="0" borderId="163" xfId="49" applyFont="1" applyBorder="1" applyAlignment="1">
      <alignment horizontal="center" wrapText="1"/>
    </xf>
    <xf numFmtId="0" fontId="25" fillId="0" borderId="0" xfId="3" applyFont="1" applyAlignment="1">
      <alignment horizontal="center" wrapText="1"/>
    </xf>
    <xf numFmtId="0" fontId="0" fillId="0" borderId="0" xfId="0" applyAlignment="1">
      <alignment horizontal="center" wrapText="1"/>
    </xf>
    <xf numFmtId="0" fontId="0" fillId="0" borderId="0" xfId="0" applyBorder="1" applyAlignment="1">
      <alignment horizontal="center" wrapText="1"/>
    </xf>
    <xf numFmtId="0" fontId="25" fillId="0" borderId="181" xfId="49" applyFont="1" applyBorder="1" applyAlignment="1">
      <alignment horizontal="center" wrapText="1"/>
    </xf>
    <xf numFmtId="0" fontId="0" fillId="0" borderId="182" xfId="0" applyBorder="1" applyAlignment="1">
      <alignment horizontal="center" wrapText="1"/>
    </xf>
    <xf numFmtId="0" fontId="23" fillId="0" borderId="44" xfId="0" applyFont="1" applyBorder="1" applyAlignment="1">
      <alignment horizontal="left"/>
    </xf>
    <xf numFmtId="0" fontId="23" fillId="0" borderId="44" xfId="3" applyFont="1" applyBorder="1" applyAlignment="1">
      <alignment horizontal="center"/>
    </xf>
    <xf numFmtId="0" fontId="0" fillId="0" borderId="70" xfId="0" applyBorder="1" applyAlignment="1">
      <alignment horizontal="center"/>
    </xf>
    <xf numFmtId="0" fontId="50" fillId="0" borderId="0" xfId="0" applyFont="1" applyAlignment="1">
      <alignment horizontal="justify" wrapText="1"/>
    </xf>
    <xf numFmtId="0" fontId="0" fillId="0" borderId="0" xfId="0" applyAlignment="1">
      <alignment horizontal="justify" wrapText="1"/>
    </xf>
    <xf numFmtId="0" fontId="25" fillId="0" borderId="0" xfId="3" applyFont="1" applyBorder="1" applyAlignment="1">
      <alignment horizontal="center" wrapText="1"/>
    </xf>
    <xf numFmtId="0" fontId="25" fillId="0" borderId="41" xfId="3" applyFont="1" applyBorder="1" applyAlignment="1">
      <alignment horizontal="center" wrapText="1"/>
    </xf>
    <xf numFmtId="0" fontId="23" fillId="0" borderId="44" xfId="0" applyFont="1" applyFill="1" applyBorder="1" applyAlignment="1"/>
  </cellXfs>
  <cellStyles count="52">
    <cellStyle name="Comma" xfId="1" builtinId="3"/>
    <cellStyle name="Comma 2" xfId="7" xr:uid="{00000000-0005-0000-0000-000001000000}"/>
    <cellStyle name="Comma 23 2" xfId="51" xr:uid="{571BD507-47A8-4DCE-9CB2-98D807540CF6}"/>
    <cellStyle name="Comma 3" xfId="17" xr:uid="{00000000-0005-0000-0000-000002000000}"/>
    <cellStyle name="Comma 4" xfId="26" xr:uid="{00000000-0005-0000-0000-000003000000}"/>
    <cellStyle name="Command" xfId="14" xr:uid="{00000000-0005-0000-0000-000004000000}"/>
    <cellStyle name="company" xfId="12" xr:uid="{00000000-0005-0000-0000-000005000000}"/>
    <cellStyle name="Currency" xfId="2" builtinId="4"/>
    <cellStyle name="Currency [0] 2" xfId="28" xr:uid="{00000000-0005-0000-0000-000007000000}"/>
    <cellStyle name="Currency 2" xfId="8" xr:uid="{00000000-0005-0000-0000-000008000000}"/>
    <cellStyle name="Currency 3" xfId="21" xr:uid="{00000000-0005-0000-0000-000009000000}"/>
    <cellStyle name="Currency 3 2" xfId="33" xr:uid="{00000000-0005-0000-0000-00000A000000}"/>
    <cellStyle name="Currency 4" xfId="30" xr:uid="{00000000-0005-0000-0000-00000B000000}"/>
    <cellStyle name="Currency 4 2" xfId="43" xr:uid="{80096F3F-1177-4DEB-B919-C7BC867BB406}"/>
    <cellStyle name="Currency 5" xfId="35" xr:uid="{25AFCCA1-E78B-4942-8BA8-B56136AAB90B}"/>
    <cellStyle name="Currency 6" xfId="36" xr:uid="{A8D8F19C-C8E4-4D7C-A459-E87BA03F28C8}"/>
    <cellStyle name="Currency 7" xfId="48" xr:uid="{851654C8-4FBE-48E4-A743-6FE630333D87}"/>
    <cellStyle name="Currency 8" xfId="37" xr:uid="{048BBF6A-F576-4A0E-BE7B-9919E215A367}"/>
    <cellStyle name="Currency 9" xfId="41" xr:uid="{86937DA4-1D48-41E5-A880-D97D04EB4E1B}"/>
    <cellStyle name="drop down" xfId="19" xr:uid="{00000000-0005-0000-0000-00000C000000}"/>
    <cellStyle name="Header" xfId="13" xr:uid="{00000000-0005-0000-0000-00000D000000}"/>
    <cellStyle name="Header 2" xfId="27" xr:uid="{00000000-0005-0000-0000-00000E000000}"/>
    <cellStyle name="input cells" xfId="15" xr:uid="{00000000-0005-0000-0000-00000F000000}"/>
    <cellStyle name="Normal" xfId="0" builtinId="0"/>
    <cellStyle name="Normal 10" xfId="49" xr:uid="{8300AD5A-0E11-4E46-9FE9-F03DB6E88313}"/>
    <cellStyle name="Normal 2" xfId="3" xr:uid="{00000000-0005-0000-0000-000011000000}"/>
    <cellStyle name="Normal 2 2" xfId="10" xr:uid="{00000000-0005-0000-0000-000012000000}"/>
    <cellStyle name="Normal 2 2 2" xfId="38" xr:uid="{D19586B7-8EB9-4011-8874-F0B22850955F}"/>
    <cellStyle name="Normal 3" xfId="11" xr:uid="{00000000-0005-0000-0000-000013000000}"/>
    <cellStyle name="Normal 3 2" xfId="6" xr:uid="{00000000-0005-0000-0000-000014000000}"/>
    <cellStyle name="Normal 4" xfId="25" xr:uid="{00000000-0005-0000-0000-000015000000}"/>
    <cellStyle name="Normal 4 2" xfId="32" xr:uid="{00000000-0005-0000-0000-000016000000}"/>
    <cellStyle name="Normal 4 2 2" xfId="45" xr:uid="{510B9F13-D124-44E0-8345-C038F9365C5C}"/>
    <cellStyle name="Normal 5" xfId="29" xr:uid="{00000000-0005-0000-0000-000017000000}"/>
    <cellStyle name="Normal 5 2" xfId="42" xr:uid="{E4D9C2C6-ECE6-4F19-A133-D26064C5B9FA}"/>
    <cellStyle name="Normal 6" xfId="34" xr:uid="{00000000-0005-0000-0000-000018000000}"/>
    <cellStyle name="Normal 6 2" xfId="46" xr:uid="{10FBB247-CD1E-494E-87D9-023A8E02B7A2}"/>
    <cellStyle name="Normal 7" xfId="50" xr:uid="{BCA07678-0C1B-48AB-B70C-B5DCC8E926AA}"/>
    <cellStyle name="Normal_coop sale price analysis v2" xfId="4" xr:uid="{00000000-0005-0000-0000-000019000000}"/>
    <cellStyle name="Note 2" xfId="22" xr:uid="{00000000-0005-0000-0000-00001A000000}"/>
    <cellStyle name="Percent" xfId="5" builtinId="5"/>
    <cellStyle name="Percent 2" xfId="9" xr:uid="{00000000-0005-0000-0000-00001C000000}"/>
    <cellStyle name="Percent 3" xfId="20" xr:uid="{00000000-0005-0000-0000-00001D000000}"/>
    <cellStyle name="Percent 3 2" xfId="31" xr:uid="{00000000-0005-0000-0000-00001E000000}"/>
    <cellStyle name="Percent 3 2 2" xfId="44" xr:uid="{D8CB91D8-C58E-4BB8-A7C2-98D791421F5B}"/>
    <cellStyle name="Subtotal" xfId="16" xr:uid="{00000000-0005-0000-0000-00001F000000}"/>
    <cellStyle name="Subtotal 2" xfId="40" xr:uid="{E06369AD-9987-4784-8E90-03EF679ADCFF}"/>
    <cellStyle name="Subtotal 3" xfId="39" xr:uid="{217ED380-4088-4057-AD06-11AE6EF61793}"/>
    <cellStyle name="text cells" xfId="18" xr:uid="{00000000-0005-0000-0000-000020000000}"/>
    <cellStyle name="Top Line_less complicated amort model(1)" xfId="24" xr:uid="{00000000-0005-0000-0000-000021000000}"/>
    <cellStyle name="Total 2" xfId="23" xr:uid="{00000000-0005-0000-0000-000022000000}"/>
    <cellStyle name="Total 2 2" xfId="47" xr:uid="{E9A8A625-9F25-49DD-A00A-60EC790E42A6}"/>
  </cellStyles>
  <dxfs count="3">
    <dxf>
      <font>
        <color rgb="FFFF0000"/>
      </font>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0000FF"/>
      <color rgb="FFFFFFCC"/>
      <color rgb="FFCCFFFF"/>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590550</xdr:colOff>
      <xdr:row>4</xdr:row>
      <xdr:rowOff>152400</xdr:rowOff>
    </xdr:from>
    <xdr:ext cx="3876674" cy="438150"/>
    <xdr:sp macro="" textlink="">
      <xdr:nvSpPr>
        <xdr:cNvPr id="2" name="TextBox 1">
          <a:extLst>
            <a:ext uri="{FF2B5EF4-FFF2-40B4-BE49-F238E27FC236}">
              <a16:creationId xmlns:a16="http://schemas.microsoft.com/office/drawing/2014/main" id="{DF953703-04DD-411C-B2BD-F1FDC111036D}"/>
            </a:ext>
          </a:extLst>
        </xdr:cNvPr>
        <xdr:cNvSpPr txBox="1"/>
      </xdr:nvSpPr>
      <xdr:spPr>
        <a:xfrm>
          <a:off x="590550" y="876300"/>
          <a:ext cx="3876674"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100" b="1" cap="all">
              <a:solidFill>
                <a:schemeClr val="dk1"/>
              </a:solidFill>
              <a:effectLst/>
              <a:latin typeface="Arial" panose="020B0604020202020204" pitchFamily="34" charset="0"/>
              <a:ea typeface="+mn-ea"/>
              <a:cs typeface="Arial" panose="020B0604020202020204" pitchFamily="34" charset="0"/>
            </a:rPr>
            <a:t>Andrew m. cuomo</a:t>
          </a:r>
          <a:r>
            <a:rPr lang="en-US" sz="1100" b="1" cap="all" baseline="0">
              <a:solidFill>
                <a:schemeClr val="dk1"/>
              </a:solidFill>
              <a:effectLst/>
              <a:latin typeface="Arial" panose="020B0604020202020204" pitchFamily="34" charset="0"/>
              <a:ea typeface="+mn-ea"/>
              <a:cs typeface="Arial" panose="020B0604020202020204" pitchFamily="34" charset="0"/>
            </a:rPr>
            <a:t>           </a:t>
          </a:r>
          <a:r>
            <a:rPr lang="en-US" sz="1100" b="1" cap="all">
              <a:solidFill>
                <a:schemeClr val="dk1"/>
              </a:solidFill>
              <a:effectLst/>
              <a:latin typeface="Arial" panose="020B0604020202020204" pitchFamily="34" charset="0"/>
              <a:ea typeface="+mn-ea"/>
              <a:cs typeface="Arial" panose="020B0604020202020204" pitchFamily="34" charset="0"/>
            </a:rPr>
            <a:t>RUTHANNE VISNAUSKAS</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Governor 	</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Commissioner/CEO</a:t>
          </a:r>
        </a:p>
        <a:p>
          <a:endParaRPr lang="en-US" sz="1200" b="1" u="none">
            <a:solidFill>
              <a:schemeClr val="dk1"/>
            </a:solidFill>
            <a:effectLst/>
            <a:latin typeface="Times New Roman" panose="02020603050405020304" pitchFamily="18" charset="0"/>
            <a:ea typeface="+mn-ea"/>
            <a:cs typeface="Times New Roman" panose="02020603050405020304" pitchFamily="18" charset="0"/>
          </a:endParaRPr>
        </a:p>
      </xdr:txBody>
    </xdr:sp>
    <xdr:clientData/>
  </xdr:oneCellAnchor>
  <xdr:twoCellAnchor editAs="oneCell">
    <xdr:from>
      <xdr:col>0</xdr:col>
      <xdr:colOff>676274</xdr:colOff>
      <xdr:row>1</xdr:row>
      <xdr:rowOff>0</xdr:rowOff>
    </xdr:from>
    <xdr:to>
      <xdr:col>5</xdr:col>
      <xdr:colOff>495299</xdr:colOff>
      <xdr:row>4</xdr:row>
      <xdr:rowOff>53340</xdr:rowOff>
    </xdr:to>
    <xdr:pic>
      <xdr:nvPicPr>
        <xdr:cNvPr id="3" name="Picture 2">
          <a:extLst>
            <a:ext uri="{FF2B5EF4-FFF2-40B4-BE49-F238E27FC236}">
              <a16:creationId xmlns:a16="http://schemas.microsoft.com/office/drawing/2014/main" id="{97A66895-DBFA-4D60-94C3-81C8D688D77D}"/>
            </a:ext>
          </a:extLst>
        </xdr:cNvPr>
        <xdr:cNvPicPr/>
      </xdr:nvPicPr>
      <xdr:blipFill>
        <a:blip xmlns:r="http://schemas.openxmlformats.org/officeDocument/2006/relationships" r:embed="rId1"/>
        <a:stretch>
          <a:fillRect/>
        </a:stretch>
      </xdr:blipFill>
      <xdr:spPr>
        <a:xfrm>
          <a:off x="676274" y="180975"/>
          <a:ext cx="3629025" cy="6248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r-vdi.svc.ny.gov\roam\Users\rikflan\Desktop\Latest%20Forms\G:\Application%20Revision%20Project\RFT_Underwriting%20application%20CF%20Oct%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AMI"/>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31.bin"/><Relationship Id="rId3" Type="http://schemas.openxmlformats.org/officeDocument/2006/relationships/printerSettings" Target="../printerSettings/printerSettings26.bin"/><Relationship Id="rId7" Type="http://schemas.openxmlformats.org/officeDocument/2006/relationships/printerSettings" Target="../printerSettings/printerSettings30.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11" Type="http://schemas.openxmlformats.org/officeDocument/2006/relationships/comments" Target="../comments5.xml"/><Relationship Id="rId5" Type="http://schemas.openxmlformats.org/officeDocument/2006/relationships/printerSettings" Target="../printerSettings/printerSettings28.bin"/><Relationship Id="rId10" Type="http://schemas.openxmlformats.org/officeDocument/2006/relationships/vmlDrawing" Target="../drawings/vmlDrawing5.vml"/><Relationship Id="rId4" Type="http://schemas.openxmlformats.org/officeDocument/2006/relationships/printerSettings" Target="../printerSettings/printerSettings27.bin"/><Relationship Id="rId9" Type="http://schemas.openxmlformats.org/officeDocument/2006/relationships/printerSettings" Target="../printerSettings/printerSettings32.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printerSettings" Target="../printerSettings/printerSettings6.bin"/><Relationship Id="rId7" Type="http://schemas.openxmlformats.org/officeDocument/2006/relationships/printerSettings" Target="../printerSettings/printerSettings10.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9.bin"/><Relationship Id="rId11" Type="http://schemas.openxmlformats.org/officeDocument/2006/relationships/comments" Target="../comments2.xml"/><Relationship Id="rId5" Type="http://schemas.openxmlformats.org/officeDocument/2006/relationships/printerSettings" Target="../printerSettings/printerSettings8.bin"/><Relationship Id="rId10" Type="http://schemas.openxmlformats.org/officeDocument/2006/relationships/vmlDrawing" Target="../drawings/vmlDrawing2.vml"/><Relationship Id="rId4" Type="http://schemas.openxmlformats.org/officeDocument/2006/relationships/printerSettings" Target="../printerSettings/printerSettings7.bin"/><Relationship Id="rId9"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printerSettings" Target="../printerSettings/printerSettings15.bin"/><Relationship Id="rId7" Type="http://schemas.openxmlformats.org/officeDocument/2006/relationships/printerSettings" Target="../printerSettings/printerSettings19.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11" Type="http://schemas.openxmlformats.org/officeDocument/2006/relationships/comments" Target="../comments3.xml"/><Relationship Id="rId5" Type="http://schemas.openxmlformats.org/officeDocument/2006/relationships/printerSettings" Target="../printerSettings/printerSettings17.bin"/><Relationship Id="rId10" Type="http://schemas.openxmlformats.org/officeDocument/2006/relationships/vmlDrawing" Target="../drawings/vmlDrawing3.vml"/><Relationship Id="rId4" Type="http://schemas.openxmlformats.org/officeDocument/2006/relationships/printerSettings" Target="../printerSettings/printerSettings16.bin"/><Relationship Id="rId9" Type="http://schemas.openxmlformats.org/officeDocument/2006/relationships/printerSettings" Target="../printerSettings/printerSettings21.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30"/>
  <sheetViews>
    <sheetView tabSelected="1" topLeftCell="A11" workbookViewId="0">
      <selection activeCell="I14" sqref="I14"/>
    </sheetView>
  </sheetViews>
  <sheetFormatPr defaultColWidth="8.88671875" defaultRowHeight="15"/>
  <cols>
    <col min="1" max="3" width="8.88671875" style="76"/>
    <col min="4" max="5" width="8.88671875" style="76" customWidth="1"/>
    <col min="6" max="6" width="13.88671875" style="76" customWidth="1"/>
    <col min="7" max="7" width="1.33203125" style="76" customWidth="1"/>
    <col min="8" max="17" width="8.88671875" style="76"/>
    <col min="18" max="18" width="2" style="76" customWidth="1"/>
    <col min="19" max="21" width="8.88671875" style="76" hidden="1" customWidth="1"/>
    <col min="22" max="16384" width="8.88671875" style="76"/>
  </cols>
  <sheetData>
    <row r="1" spans="1:8">
      <c r="A1" s="1370"/>
    </row>
    <row r="10" spans="1:8">
      <c r="B10" s="77" t="s">
        <v>182</v>
      </c>
    </row>
    <row r="12" spans="1:8" ht="15" customHeight="1">
      <c r="A12" s="78" t="s">
        <v>178</v>
      </c>
      <c r="B12" s="1449" t="s">
        <v>724</v>
      </c>
      <c r="C12" s="1450"/>
      <c r="D12" s="1450"/>
      <c r="E12" s="1450"/>
      <c r="F12" s="1450"/>
      <c r="G12" s="1450"/>
      <c r="H12" s="79"/>
    </row>
    <row r="13" spans="1:8">
      <c r="A13" s="80"/>
      <c r="B13" s="237"/>
    </row>
    <row r="14" spans="1:8">
      <c r="A14" s="80" t="s">
        <v>179</v>
      </c>
      <c r="B14" s="1451" t="s">
        <v>180</v>
      </c>
      <c r="C14" s="1451"/>
      <c r="D14" s="1451"/>
      <c r="E14" s="1451"/>
      <c r="F14" s="1451"/>
      <c r="G14" s="1451"/>
    </row>
    <row r="15" spans="1:8">
      <c r="A15" s="80"/>
      <c r="B15" s="645">
        <v>44043</v>
      </c>
      <c r="C15" s="1327" t="s">
        <v>825</v>
      </c>
    </row>
    <row r="16" spans="1:8" ht="30.6" customHeight="1">
      <c r="A16" s="78" t="s">
        <v>181</v>
      </c>
      <c r="B16" s="1450" t="s">
        <v>60</v>
      </c>
      <c r="C16" s="1450"/>
      <c r="D16" s="1450"/>
      <c r="E16" s="1450"/>
      <c r="F16" s="1450"/>
      <c r="G16" s="1450"/>
      <c r="H16" s="81"/>
    </row>
    <row r="17" spans="1:8">
      <c r="A17" s="80"/>
      <c r="B17" s="82"/>
      <c r="C17" s="82"/>
      <c r="D17" s="82"/>
      <c r="E17" s="82"/>
      <c r="F17" s="82"/>
      <c r="G17" s="82"/>
      <c r="H17" s="81"/>
    </row>
    <row r="18" spans="1:8" ht="28.35" customHeight="1">
      <c r="A18" s="78"/>
      <c r="B18" s="77" t="s">
        <v>682</v>
      </c>
      <c r="C18" s="77"/>
    </row>
    <row r="19" spans="1:8">
      <c r="B19" s="77" t="s">
        <v>683</v>
      </c>
      <c r="C19" s="77"/>
      <c r="D19" s="77"/>
    </row>
    <row r="20" spans="1:8">
      <c r="B20" s="257"/>
      <c r="C20" s="257"/>
      <c r="D20" s="257"/>
      <c r="E20" s="257"/>
      <c r="F20" s="257"/>
    </row>
    <row r="21" spans="1:8" ht="15.75">
      <c r="B21" s="421" t="s">
        <v>733</v>
      </c>
      <c r="C21" s="2"/>
      <c r="D21" s="256"/>
      <c r="E21" s="256"/>
      <c r="F21" s="257"/>
    </row>
    <row r="22" spans="1:8" ht="15.75">
      <c r="B22" s="552"/>
      <c r="C22" s="2"/>
      <c r="D22" s="256"/>
      <c r="E22" s="256"/>
      <c r="F22" s="257"/>
    </row>
    <row r="23" spans="1:8" ht="15.75">
      <c r="B23" s="2"/>
      <c r="C23" s="2"/>
      <c r="D23" s="3"/>
      <c r="E23" s="259"/>
      <c r="F23" s="257"/>
    </row>
    <row r="24" spans="1:8" ht="15.75">
      <c r="B24" s="258"/>
      <c r="C24" s="2"/>
      <c r="D24" s="260"/>
      <c r="E24" s="260"/>
      <c r="F24" s="257"/>
    </row>
    <row r="25" spans="1:8" ht="15.75">
      <c r="B25" s="2"/>
      <c r="C25" s="2"/>
      <c r="D25" s="261"/>
      <c r="E25" s="256"/>
      <c r="F25" s="257"/>
    </row>
    <row r="26" spans="1:8" ht="15.75">
      <c r="B26" s="2"/>
      <c r="C26" s="2"/>
      <c r="D26" s="256"/>
      <c r="E26" s="256"/>
      <c r="F26" s="257"/>
    </row>
    <row r="27" spans="1:8" ht="15.75">
      <c r="B27" s="2"/>
      <c r="C27" s="2"/>
      <c r="D27" s="256"/>
      <c r="E27" s="256"/>
      <c r="F27" s="257"/>
    </row>
    <row r="28" spans="1:8" ht="15.75">
      <c r="B28" s="258"/>
      <c r="C28" s="2"/>
      <c r="D28" s="261"/>
      <c r="E28" s="260"/>
      <c r="F28" s="257"/>
    </row>
    <row r="29" spans="1:8">
      <c r="B29" s="257"/>
      <c r="C29" s="257"/>
      <c r="D29" s="257"/>
      <c r="E29" s="257"/>
      <c r="F29" s="257"/>
    </row>
    <row r="30" spans="1:8">
      <c r="B30" s="257"/>
      <c r="C30" s="257"/>
      <c r="D30" s="257"/>
      <c r="E30" s="257"/>
      <c r="F30" s="257"/>
    </row>
  </sheetData>
  <sheetProtection algorithmName="SHA-512" hashValue="KiE8OKFuE0lP+X1aToRghGomGHr4IflQmC8k3dmlpg9CtX3YDrrz8V1YFg/KA9Mvsmgo9mSyHq4vNIlUxuxI6Q==" saltValue="4XrKhvfcERFdP1/sM2RD2Q==" spinCount="100000" sheet="1" objects="1" scenarios="1"/>
  <mergeCells count="3">
    <mergeCell ref="B12:G12"/>
    <mergeCell ref="B14:G14"/>
    <mergeCell ref="B16:G1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codeName="Sheet7"/>
  <dimension ref="A1:AM283"/>
  <sheetViews>
    <sheetView showGridLines="0" zoomScale="82" zoomScaleNormal="82" workbookViewId="0"/>
  </sheetViews>
  <sheetFormatPr defaultColWidth="9.88671875" defaultRowHeight="15.75"/>
  <cols>
    <col min="1" max="1" width="15.6640625" style="242" customWidth="1"/>
    <col min="2" max="2" width="18" style="242" customWidth="1"/>
    <col min="3" max="6" width="13.33203125" style="303" customWidth="1"/>
    <col min="7" max="10" width="10" style="264" customWidth="1"/>
    <col min="11" max="11" width="11.88671875" style="280" customWidth="1"/>
    <col min="12" max="12" width="11.88671875" style="263" customWidth="1"/>
    <col min="13" max="13" width="13.109375" style="562" customWidth="1"/>
    <col min="14" max="14" width="18.77734375" style="268" customWidth="1"/>
    <col min="15" max="15" width="13.33203125" style="433" customWidth="1"/>
    <col min="16" max="16" width="26.109375" style="433" customWidth="1"/>
    <col min="17" max="17" width="16.88671875" style="433" customWidth="1"/>
    <col min="18" max="18" width="15.6640625" style="433" customWidth="1"/>
    <col min="19" max="19" width="17" style="264" customWidth="1"/>
    <col min="20" max="20" width="9.88671875" style="264"/>
    <col min="21" max="21" width="11" style="264" bestFit="1" customWidth="1"/>
    <col min="22" max="39" width="9.88671875" style="264"/>
    <col min="40" max="16384" width="9.88671875" style="242"/>
  </cols>
  <sheetData>
    <row r="1" spans="1:19" s="264" customFormat="1" ht="15.75" customHeight="1">
      <c r="A1" s="299" t="str">
        <f>'Sources and Uses'!A2</f>
        <v>Project Name:</v>
      </c>
      <c r="B1" s="1631">
        <f>'Sources and Uses'!B2:C2</f>
        <v>0</v>
      </c>
      <c r="C1" s="1471"/>
      <c r="D1" s="1471"/>
      <c r="E1" s="1471"/>
      <c r="F1" s="1636" t="s">
        <v>41</v>
      </c>
      <c r="G1" s="1637"/>
      <c r="H1" s="607"/>
      <c r="I1" s="16"/>
      <c r="J1" s="16"/>
      <c r="K1" s="265"/>
      <c r="L1" s="263"/>
      <c r="M1" s="561"/>
      <c r="N1" s="268"/>
      <c r="O1" s="433"/>
      <c r="P1" s="433"/>
      <c r="Q1" s="433"/>
      <c r="R1" s="433"/>
    </row>
    <row r="2" spans="1:19" s="264" customFormat="1" ht="15.75" customHeight="1">
      <c r="A2" s="577" t="str">
        <f>'Sources and Uses'!A4</f>
        <v>Project County:</v>
      </c>
      <c r="B2" s="576">
        <f>'Sources and Uses'!B4</f>
        <v>0</v>
      </c>
      <c r="F2" s="15"/>
      <c r="H2" s="378"/>
      <c r="I2" s="1398" t="s">
        <v>814</v>
      </c>
      <c r="J2" s="1398" t="s">
        <v>815</v>
      </c>
      <c r="K2" s="17"/>
      <c r="L2" s="263"/>
      <c r="M2" s="562"/>
      <c r="N2" s="268"/>
      <c r="O2" s="433"/>
      <c r="P2" s="433"/>
      <c r="Q2" s="433"/>
      <c r="R2" s="433"/>
    </row>
    <row r="3" spans="1:19" s="264" customFormat="1" ht="15.75" customHeight="1">
      <c r="A3" s="1383" t="s">
        <v>404</v>
      </c>
      <c r="B3" s="1384">
        <f>'Units &amp; Income'!C14</f>
        <v>0</v>
      </c>
      <c r="C3" s="13"/>
      <c r="E3" s="1391"/>
      <c r="F3" s="1396" t="s">
        <v>441</v>
      </c>
      <c r="G3" s="1392">
        <f>'Sources and Uses'!G3</f>
        <v>0</v>
      </c>
      <c r="H3" s="1393" t="s">
        <v>817</v>
      </c>
      <c r="I3" s="1394">
        <f>'Sources and Uses'!I3</f>
        <v>0</v>
      </c>
      <c r="J3" s="1394" t="e">
        <f>'Tax Credit Worksheet'!E20</f>
        <v>#DIV/0!</v>
      </c>
      <c r="M3" s="562"/>
      <c r="N3" s="268"/>
      <c r="O3" s="433"/>
      <c r="P3" s="433"/>
      <c r="Q3" s="433"/>
      <c r="R3" s="433"/>
    </row>
    <row r="4" spans="1:19" s="264" customFormat="1" ht="15.75" customHeight="1">
      <c r="A4" s="262"/>
      <c r="C4" s="13"/>
      <c r="M4" s="562"/>
      <c r="N4" s="268"/>
      <c r="O4" s="433"/>
      <c r="P4" s="228"/>
      <c r="Q4" s="228"/>
      <c r="R4" s="228"/>
      <c r="S4" s="228"/>
    </row>
    <row r="5" spans="1:19" s="264" customFormat="1" ht="15.75" customHeight="1">
      <c r="C5" s="13"/>
      <c r="E5" s="1391"/>
      <c r="F5" s="1396" t="s">
        <v>442</v>
      </c>
      <c r="G5" s="1392">
        <f>'Sources and Uses'!G5</f>
        <v>0</v>
      </c>
      <c r="H5" s="1393" t="s">
        <v>762</v>
      </c>
      <c r="I5" s="1395">
        <f>'Sources and Uses'!I5</f>
        <v>0</v>
      </c>
      <c r="J5" s="1394" t="e">
        <f>'Tax Credit Worksheet'!G20</f>
        <v>#DIV/0!</v>
      </c>
      <c r="M5" s="557"/>
      <c r="N5" s="268"/>
      <c r="O5" s="433"/>
      <c r="P5" s="228"/>
      <c r="Q5" s="228"/>
      <c r="R5" s="228"/>
      <c r="S5" s="228"/>
    </row>
    <row r="6" spans="1:19" s="264" customFormat="1" ht="15.75" customHeight="1">
      <c r="E6" s="704"/>
      <c r="F6" s="705"/>
      <c r="K6" s="266"/>
      <c r="L6" s="706"/>
      <c r="M6" s="557"/>
      <c r="N6" s="268"/>
      <c r="O6" s="433"/>
      <c r="P6" s="228"/>
      <c r="Q6" s="228"/>
      <c r="R6" s="228"/>
      <c r="S6" s="228"/>
    </row>
    <row r="7" spans="1:19" s="264" customFormat="1" ht="15.75" customHeight="1">
      <c r="D7" s="378"/>
      <c r="E7" s="1634" t="s">
        <v>54</v>
      </c>
      <c r="F7" s="1635"/>
      <c r="G7" s="1635"/>
      <c r="H7" s="13"/>
      <c r="I7" s="13"/>
      <c r="J7" s="13"/>
      <c r="L7" s="1582" t="s">
        <v>476</v>
      </c>
      <c r="M7" s="433"/>
      <c r="N7" s="433"/>
      <c r="O7" s="433"/>
      <c r="P7" s="228"/>
      <c r="Q7" s="228"/>
      <c r="R7" s="269"/>
      <c r="S7" s="228"/>
    </row>
    <row r="8" spans="1:19" s="264" customFormat="1" ht="32.450000000000003" customHeight="1">
      <c r="A8" s="589" t="s">
        <v>739</v>
      </c>
      <c r="B8" s="589"/>
      <c r="C8" s="590" t="s">
        <v>712</v>
      </c>
      <c r="D8" s="591" t="s">
        <v>421</v>
      </c>
      <c r="E8" s="592" t="s">
        <v>474</v>
      </c>
      <c r="F8" s="592" t="s">
        <v>165</v>
      </c>
      <c r="G8" s="1640" t="s">
        <v>738</v>
      </c>
      <c r="H8" s="1641"/>
      <c r="I8" s="1641"/>
      <c r="J8" s="720"/>
      <c r="K8" s="593" t="s">
        <v>473</v>
      </c>
      <c r="L8" s="1583"/>
      <c r="M8" s="717" t="s">
        <v>739</v>
      </c>
      <c r="N8" s="717"/>
      <c r="O8" s="433"/>
      <c r="P8" s="433"/>
      <c r="Q8" s="433"/>
      <c r="R8" s="433"/>
      <c r="S8" s="7"/>
    </row>
    <row r="9" spans="1:19" s="264" customFormat="1" ht="15.75" customHeight="1">
      <c r="A9" s="1573" t="s">
        <v>109</v>
      </c>
      <c r="B9" s="1630"/>
      <c r="C9" s="273"/>
      <c r="D9" s="273"/>
      <c r="E9" s="273"/>
      <c r="F9" s="273"/>
      <c r="G9" s="710" t="s">
        <v>713</v>
      </c>
      <c r="H9" s="710" t="s">
        <v>714</v>
      </c>
      <c r="I9" s="710" t="s">
        <v>427</v>
      </c>
      <c r="J9" s="725" t="s">
        <v>1</v>
      </c>
      <c r="K9" s="233"/>
      <c r="L9" s="19"/>
      <c r="M9" s="1573" t="s">
        <v>109</v>
      </c>
      <c r="N9" s="1577"/>
      <c r="O9" s="433"/>
      <c r="P9" s="433"/>
      <c r="Q9" s="433"/>
      <c r="R9" s="433"/>
      <c r="S9" s="7"/>
    </row>
    <row r="10" spans="1:19" s="264" customFormat="1" ht="15.75" customHeight="1">
      <c r="A10" s="1569" t="s">
        <v>187</v>
      </c>
      <c r="B10" s="1628"/>
      <c r="C10" s="274">
        <f>+SUM(D10:F10)</f>
        <v>0</v>
      </c>
      <c r="D10" s="687"/>
      <c r="E10" s="688"/>
      <c r="F10" s="688"/>
      <c r="G10" s="1319" t="e">
        <f>F10/'Units &amp; Income'!$C$20</f>
        <v>#DIV/0!</v>
      </c>
      <c r="H10" s="1319" t="e">
        <f>E10/'Units &amp; Income'!C22</f>
        <v>#DIV/0!</v>
      </c>
      <c r="I10" s="1319" t="e">
        <f>D10/'Units &amp; Income'!C21</f>
        <v>#DIV/0!</v>
      </c>
      <c r="J10" s="1319" t="e">
        <f>C10/'Units &amp; Income'!$C$23</f>
        <v>#DIV/0!</v>
      </c>
      <c r="K10" s="1204"/>
      <c r="L10" s="1204"/>
      <c r="M10" s="1569" t="s">
        <v>187</v>
      </c>
      <c r="N10" s="1570"/>
      <c r="O10" s="433"/>
      <c r="P10" s="433"/>
      <c r="Q10" s="433"/>
      <c r="R10" s="433"/>
      <c r="S10" s="7"/>
    </row>
    <row r="11" spans="1:19" s="264" customFormat="1" ht="15.75" customHeight="1">
      <c r="A11" s="1569" t="s">
        <v>108</v>
      </c>
      <c r="B11" s="1628"/>
      <c r="C11" s="671">
        <f>+SUM(D11:F11)</f>
        <v>0</v>
      </c>
      <c r="D11" s="672"/>
      <c r="E11" s="673"/>
      <c r="F11" s="673"/>
      <c r="G11" s="1319"/>
      <c r="H11" s="1319"/>
      <c r="I11" s="1318"/>
      <c r="J11" s="1318"/>
      <c r="K11" s="1205"/>
      <c r="L11" s="1205"/>
      <c r="M11" s="1569" t="s">
        <v>108</v>
      </c>
      <c r="N11" s="1570"/>
      <c r="O11" s="433"/>
      <c r="P11" s="433"/>
      <c r="Q11" s="433"/>
      <c r="R11" s="433"/>
      <c r="S11" s="7"/>
    </row>
    <row r="12" spans="1:19" s="264" customFormat="1" ht="15.75" customHeight="1" thickBot="1">
      <c r="A12" s="1575" t="s">
        <v>115</v>
      </c>
      <c r="B12" s="1576"/>
      <c r="C12" s="1207">
        <f>SUM(C10:C11)</f>
        <v>0</v>
      </c>
      <c r="D12" s="1207">
        <f>SUM(D10:D11)</f>
        <v>0</v>
      </c>
      <c r="E12" s="1207">
        <f>SUM(E10:E11)</f>
        <v>0</v>
      </c>
      <c r="F12" s="1207">
        <f>SUM(F10:F11)</f>
        <v>0</v>
      </c>
      <c r="G12" s="1320" t="e">
        <f>F12/'Units &amp; Income'!C16</f>
        <v>#DIV/0!</v>
      </c>
      <c r="H12" s="1320" t="e">
        <f>E12/'Units &amp; Income'!C22</f>
        <v>#DIV/0!</v>
      </c>
      <c r="I12" s="1320" t="e">
        <f>I9/'Units &amp; Income'!S7</f>
        <v>#DIV/0!</v>
      </c>
      <c r="J12" s="1320" t="e">
        <f>J9/'Units &amp; Income'!T7</f>
        <v>#DIV/0!</v>
      </c>
      <c r="K12" s="1206">
        <f>K10</f>
        <v>0</v>
      </c>
      <c r="L12" s="1206">
        <f>L10</f>
        <v>0</v>
      </c>
      <c r="M12" s="1575" t="s">
        <v>115</v>
      </c>
      <c r="N12" s="1576"/>
      <c r="O12" s="433"/>
      <c r="P12" s="433"/>
      <c r="Q12" s="433"/>
      <c r="R12" s="433"/>
      <c r="S12" s="7"/>
    </row>
    <row r="13" spans="1:19" s="264" customFormat="1" ht="15.75" customHeight="1" thickTop="1">
      <c r="A13" s="578"/>
      <c r="B13" s="21"/>
      <c r="C13" s="23"/>
      <c r="D13" s="23"/>
      <c r="E13" s="23"/>
      <c r="F13" s="23"/>
      <c r="G13" s="668"/>
      <c r="H13" s="668"/>
      <c r="I13" s="664"/>
      <c r="J13" s="664"/>
      <c r="K13" s="1203"/>
      <c r="L13" s="652"/>
      <c r="M13" s="578"/>
      <c r="N13" s="21"/>
      <c r="O13" s="433"/>
      <c r="P13" s="433"/>
      <c r="Q13" s="433"/>
      <c r="R13" s="433"/>
      <c r="S13" s="7"/>
    </row>
    <row r="14" spans="1:19" s="264" customFormat="1" ht="15.75" customHeight="1">
      <c r="A14" s="1573" t="s">
        <v>437</v>
      </c>
      <c r="B14" s="1630"/>
      <c r="C14" s="24"/>
      <c r="D14" s="24"/>
      <c r="E14" s="24"/>
      <c r="F14" s="24"/>
      <c r="G14" s="18"/>
      <c r="H14" s="18"/>
      <c r="I14" s="18"/>
      <c r="J14" s="18"/>
      <c r="K14" s="652"/>
      <c r="L14" s="659"/>
      <c r="M14" s="1573" t="s">
        <v>437</v>
      </c>
      <c r="N14" s="1577"/>
      <c r="O14" s="433"/>
      <c r="P14" s="433"/>
      <c r="Q14" s="433"/>
      <c r="R14" s="433"/>
      <c r="S14" s="7"/>
    </row>
    <row r="15" spans="1:19" s="264" customFormat="1" ht="15.75" customHeight="1">
      <c r="A15" s="1569" t="s">
        <v>430</v>
      </c>
      <c r="B15" s="1570"/>
      <c r="C15" s="274">
        <f>+SUM(D15:F15)</f>
        <v>0</v>
      </c>
      <c r="D15" s="672"/>
      <c r="E15" s="673"/>
      <c r="F15" s="673"/>
      <c r="G15" s="666"/>
      <c r="H15" s="666"/>
      <c r="I15" s="666"/>
      <c r="J15" s="666"/>
      <c r="K15" s="1220"/>
      <c r="L15" s="673"/>
      <c r="M15" s="1569" t="s">
        <v>430</v>
      </c>
      <c r="N15" s="1570"/>
      <c r="O15" s="433"/>
      <c r="P15" s="433"/>
      <c r="Q15" s="433"/>
      <c r="R15" s="433"/>
      <c r="S15" s="7"/>
    </row>
    <row r="16" spans="1:19" s="264" customFormat="1" ht="15.75" customHeight="1">
      <c r="A16" s="1569" t="s">
        <v>431</v>
      </c>
      <c r="B16" s="1570"/>
      <c r="C16" s="671">
        <f>+SUM(D16:F16)</f>
        <v>0</v>
      </c>
      <c r="D16" s="672"/>
      <c r="E16" s="673"/>
      <c r="F16" s="673"/>
      <c r="G16" s="666"/>
      <c r="H16" s="666"/>
      <c r="I16" s="666"/>
      <c r="J16" s="666"/>
      <c r="K16" s="677"/>
      <c r="L16" s="677"/>
      <c r="M16" s="1569" t="s">
        <v>431</v>
      </c>
      <c r="N16" s="1570"/>
      <c r="O16" s="433"/>
      <c r="P16" s="433"/>
      <c r="Q16" s="433"/>
      <c r="R16" s="433"/>
      <c r="S16" s="7"/>
    </row>
    <row r="17" spans="1:39" s="264" customFormat="1" ht="15.75" customHeight="1">
      <c r="A17" s="1569" t="s">
        <v>432</v>
      </c>
      <c r="B17" s="1570"/>
      <c r="C17" s="671">
        <f>+SUM(D17:F17)</f>
        <v>0</v>
      </c>
      <c r="D17" s="672"/>
      <c r="E17" s="673"/>
      <c r="F17" s="673"/>
      <c r="G17" s="666"/>
      <c r="H17" s="666"/>
      <c r="I17" s="666"/>
      <c r="J17" s="666"/>
      <c r="K17" s="677"/>
      <c r="L17" s="677"/>
      <c r="M17" s="1569" t="s">
        <v>432</v>
      </c>
      <c r="N17" s="1570"/>
      <c r="O17" s="433"/>
      <c r="P17" s="433"/>
      <c r="Q17" s="433"/>
      <c r="R17" s="433"/>
      <c r="S17" s="7"/>
    </row>
    <row r="18" spans="1:39" s="264" customFormat="1" ht="15.75" customHeight="1">
      <c r="A18" s="1569" t="s">
        <v>433</v>
      </c>
      <c r="B18" s="1570"/>
      <c r="C18" s="671">
        <f>+SUM(D18:F18)</f>
        <v>0</v>
      </c>
      <c r="D18" s="672"/>
      <c r="E18" s="673"/>
      <c r="F18" s="673"/>
      <c r="G18" s="666"/>
      <c r="H18" s="666"/>
      <c r="I18" s="666"/>
      <c r="J18" s="666"/>
      <c r="K18" s="677"/>
      <c r="L18" s="677"/>
      <c r="M18" s="1569" t="s">
        <v>433</v>
      </c>
      <c r="N18" s="1570"/>
      <c r="O18" s="558"/>
      <c r="P18" s="433"/>
      <c r="Q18" s="433"/>
      <c r="R18" s="433"/>
      <c r="S18" s="7"/>
    </row>
    <row r="19" spans="1:39" s="264" customFormat="1" ht="15.75" customHeight="1">
      <c r="A19" s="1569" t="s">
        <v>452</v>
      </c>
      <c r="B19" s="1570"/>
      <c r="C19" s="274">
        <f>+SUM(D19:F19)</f>
        <v>0</v>
      </c>
      <c r="D19" s="276">
        <f>D82</f>
        <v>0</v>
      </c>
      <c r="E19" s="276">
        <f>F82</f>
        <v>0</v>
      </c>
      <c r="F19" s="276">
        <f>H82</f>
        <v>0</v>
      </c>
      <c r="G19" s="666"/>
      <c r="H19" s="666"/>
      <c r="I19" s="666"/>
      <c r="J19" s="666"/>
      <c r="K19" s="677"/>
      <c r="L19" s="677"/>
      <c r="M19" s="1569" t="s">
        <v>452</v>
      </c>
      <c r="N19" s="1570"/>
      <c r="O19" s="433"/>
      <c r="P19" s="433"/>
      <c r="Q19" s="433"/>
      <c r="R19" s="433"/>
      <c r="S19" s="7"/>
    </row>
    <row r="20" spans="1:39" ht="15.75" customHeight="1" thickBot="1">
      <c r="A20" s="1575" t="s">
        <v>434</v>
      </c>
      <c r="B20" s="1629"/>
      <c r="C20" s="236">
        <f>SUM(C15:C19)</f>
        <v>0</v>
      </c>
      <c r="D20" s="236">
        <f>SUM(D15:D19)</f>
        <v>0</v>
      </c>
      <c r="E20" s="236">
        <f>SUM(E15:E19)</f>
        <v>0</v>
      </c>
      <c r="F20" s="236">
        <f>SUM(F15:F19)</f>
        <v>0</v>
      </c>
      <c r="G20" s="666"/>
      <c r="H20" s="666"/>
      <c r="I20" s="666"/>
      <c r="J20" s="666"/>
      <c r="K20" s="660">
        <f>SUM(K15:K19)</f>
        <v>0</v>
      </c>
      <c r="L20" s="651">
        <f>SUM(L15:L19)</f>
        <v>0</v>
      </c>
      <c r="M20" s="1575" t="s">
        <v>434</v>
      </c>
      <c r="N20" s="1576"/>
      <c r="O20" s="565"/>
      <c r="S20" s="7"/>
      <c r="U20" s="242"/>
      <c r="V20" s="242"/>
      <c r="W20" s="242"/>
      <c r="X20" s="242"/>
      <c r="Y20" s="242"/>
      <c r="Z20" s="242"/>
      <c r="AA20" s="242"/>
      <c r="AB20" s="242"/>
      <c r="AC20" s="242"/>
      <c r="AD20" s="242"/>
      <c r="AE20" s="242"/>
      <c r="AF20" s="242"/>
      <c r="AG20" s="242"/>
      <c r="AH20" s="242"/>
      <c r="AI20" s="242"/>
      <c r="AJ20" s="242"/>
      <c r="AK20" s="242"/>
      <c r="AL20" s="242"/>
      <c r="AM20" s="242"/>
    </row>
    <row r="21" spans="1:39" ht="15.75" customHeight="1" thickTop="1">
      <c r="A21" s="579"/>
      <c r="B21" s="227"/>
      <c r="C21" s="23"/>
      <c r="D21" s="23"/>
      <c r="E21" s="281"/>
      <c r="F21" s="281"/>
      <c r="G21" s="666"/>
      <c r="H21" s="666"/>
      <c r="I21" s="666"/>
      <c r="J21" s="666"/>
      <c r="K21" s="234"/>
      <c r="L21" s="23"/>
      <c r="M21" s="714"/>
      <c r="N21" s="1408"/>
      <c r="S21" s="7"/>
      <c r="U21" s="242"/>
      <c r="V21" s="242"/>
      <c r="W21" s="242"/>
      <c r="X21" s="242"/>
      <c r="Y21" s="242"/>
      <c r="Z21" s="242"/>
      <c r="AA21" s="242"/>
      <c r="AB21" s="242"/>
      <c r="AC21" s="242"/>
      <c r="AD21" s="242"/>
      <c r="AE21" s="242"/>
      <c r="AF21" s="242"/>
      <c r="AG21" s="242"/>
      <c r="AH21" s="242"/>
      <c r="AI21" s="242"/>
      <c r="AJ21" s="242"/>
      <c r="AK21" s="242"/>
      <c r="AL21" s="242"/>
      <c r="AM21" s="242"/>
    </row>
    <row r="22" spans="1:39" ht="15.75" customHeight="1">
      <c r="A22" s="1569" t="s">
        <v>165</v>
      </c>
      <c r="B22" s="1570"/>
      <c r="C22" s="274">
        <f>+SUM(D22:F22)</f>
        <v>0</v>
      </c>
      <c r="D22" s="690"/>
      <c r="E22" s="675"/>
      <c r="F22" s="673"/>
      <c r="G22" s="1319" t="e">
        <f>F22/'Units &amp; Income'!$C$20</f>
        <v>#DIV/0!</v>
      </c>
      <c r="H22" s="1319"/>
      <c r="I22" s="1323"/>
      <c r="J22" s="1323"/>
      <c r="K22" s="1220"/>
      <c r="L22" s="661"/>
      <c r="M22" s="1569" t="s">
        <v>165</v>
      </c>
      <c r="N22" s="1570"/>
      <c r="S22" s="7"/>
      <c r="U22" s="242"/>
      <c r="V22" s="242"/>
      <c r="W22" s="242"/>
      <c r="X22" s="242"/>
      <c r="Y22" s="242"/>
      <c r="Z22" s="242"/>
      <c r="AA22" s="242"/>
      <c r="AB22" s="242"/>
      <c r="AC22" s="242"/>
      <c r="AD22" s="242"/>
      <c r="AE22" s="242"/>
      <c r="AF22" s="242"/>
      <c r="AG22" s="242"/>
      <c r="AH22" s="242"/>
      <c r="AI22" s="242"/>
      <c r="AJ22" s="242"/>
      <c r="AK22" s="242"/>
      <c r="AL22" s="242"/>
      <c r="AM22" s="242"/>
    </row>
    <row r="23" spans="1:39" ht="15.75" customHeight="1">
      <c r="A23" s="1569" t="s">
        <v>420</v>
      </c>
      <c r="B23" s="1570"/>
      <c r="C23" s="671">
        <f>+SUM(D23:F23)</f>
        <v>0</v>
      </c>
      <c r="D23" s="672"/>
      <c r="E23" s="675"/>
      <c r="F23" s="675"/>
      <c r="G23" s="1324"/>
      <c r="H23" s="1319"/>
      <c r="I23" s="1319" t="e">
        <f>D23/'Units &amp; Income'!C21</f>
        <v>#DIV/0!</v>
      </c>
      <c r="J23" s="1319"/>
      <c r="K23" s="661"/>
      <c r="L23" s="677"/>
      <c r="M23" s="1569" t="s">
        <v>420</v>
      </c>
      <c r="N23" s="1570"/>
      <c r="S23" s="7"/>
      <c r="U23" s="242"/>
      <c r="V23" s="242"/>
      <c r="W23" s="242"/>
      <c r="X23" s="242"/>
      <c r="Y23" s="242"/>
      <c r="Z23" s="242"/>
      <c r="AA23" s="242"/>
      <c r="AB23" s="242"/>
      <c r="AC23" s="242"/>
      <c r="AD23" s="242"/>
      <c r="AE23" s="242"/>
      <c r="AF23" s="242"/>
      <c r="AG23" s="242"/>
      <c r="AH23" s="242"/>
      <c r="AI23" s="242"/>
      <c r="AJ23" s="242"/>
      <c r="AK23" s="242"/>
      <c r="AL23" s="242"/>
      <c r="AM23" s="242"/>
    </row>
    <row r="24" spans="1:39" ht="15.75" customHeight="1">
      <c r="A24" s="1569" t="s">
        <v>480</v>
      </c>
      <c r="B24" s="1570"/>
      <c r="C24" s="671">
        <f>+SUM(D24:F24)</f>
        <v>0</v>
      </c>
      <c r="D24" s="675"/>
      <c r="E24" s="673"/>
      <c r="F24" s="675"/>
      <c r="G24" s="1325"/>
      <c r="H24" s="1319" t="e">
        <f>G24/'Units &amp; Income'!$C$22</f>
        <v>#DIV/0!</v>
      </c>
      <c r="I24" s="1319"/>
      <c r="J24" s="1319"/>
      <c r="K24" s="661"/>
      <c r="L24" s="661"/>
      <c r="M24" s="1569" t="s">
        <v>480</v>
      </c>
      <c r="N24" s="1570"/>
      <c r="U24" s="242"/>
      <c r="V24" s="242"/>
      <c r="W24" s="242"/>
      <c r="X24" s="242"/>
      <c r="Y24" s="242"/>
      <c r="Z24" s="242"/>
      <c r="AA24" s="242"/>
      <c r="AB24" s="242"/>
      <c r="AC24" s="242"/>
      <c r="AD24" s="242"/>
      <c r="AE24" s="242"/>
      <c r="AF24" s="242"/>
      <c r="AG24" s="242"/>
      <c r="AH24" s="242"/>
      <c r="AI24" s="242"/>
      <c r="AJ24" s="242"/>
      <c r="AK24" s="242"/>
      <c r="AL24" s="242"/>
      <c r="AM24" s="242"/>
    </row>
    <row r="25" spans="1:39" s="264" customFormat="1" ht="15.75" customHeight="1">
      <c r="A25" s="1569" t="s">
        <v>435</v>
      </c>
      <c r="B25" s="1570"/>
      <c r="C25" s="671">
        <f>+SUM(D25:F25)</f>
        <v>0</v>
      </c>
      <c r="D25" s="672"/>
      <c r="E25" s="673"/>
      <c r="F25" s="673"/>
      <c r="G25" s="1326"/>
      <c r="H25" s="1326"/>
      <c r="I25" s="1326"/>
      <c r="J25" s="1319" t="e">
        <f>C25/'Units &amp; Income'!$C$23</f>
        <v>#DIV/0!</v>
      </c>
      <c r="K25" s="649"/>
      <c r="L25" s="649"/>
      <c r="M25" s="1569" t="s">
        <v>435</v>
      </c>
      <c r="N25" s="1570"/>
      <c r="O25" s="558"/>
      <c r="P25" s="433"/>
      <c r="Q25" s="433"/>
      <c r="R25" s="433"/>
      <c r="T25" s="22"/>
    </row>
    <row r="26" spans="1:39" ht="15.75" customHeight="1" thickBot="1">
      <c r="A26" s="1575" t="s">
        <v>469</v>
      </c>
      <c r="B26" s="1629"/>
      <c r="C26" s="236">
        <f>SUM(C22:C25)</f>
        <v>0</v>
      </c>
      <c r="D26" s="236">
        <f>SUM(D22:D25)</f>
        <v>0</v>
      </c>
      <c r="E26" s="236">
        <f>SUM(E22:E25)</f>
        <v>0</v>
      </c>
      <c r="F26" s="236">
        <f>SUM(F22:F25)</f>
        <v>0</v>
      </c>
      <c r="G26" s="1218"/>
      <c r="H26" s="1218"/>
      <c r="I26" s="1218"/>
      <c r="J26" s="1219"/>
      <c r="K26" s="235">
        <f>SUM(K22:K25)</f>
        <v>0</v>
      </c>
      <c r="L26" s="235">
        <f>SUM(L22:L25)</f>
        <v>0</v>
      </c>
      <c r="M26" s="1575" t="s">
        <v>469</v>
      </c>
      <c r="N26" s="1576"/>
      <c r="U26" s="242"/>
      <c r="V26" s="242"/>
      <c r="W26" s="242"/>
      <c r="X26" s="242"/>
      <c r="Y26" s="242"/>
      <c r="Z26" s="242"/>
      <c r="AA26" s="242"/>
      <c r="AB26" s="242"/>
      <c r="AC26" s="242"/>
      <c r="AD26" s="242"/>
      <c r="AE26" s="242"/>
      <c r="AF26" s="242"/>
      <c r="AG26" s="242"/>
      <c r="AH26" s="242"/>
      <c r="AI26" s="242"/>
      <c r="AJ26" s="242"/>
      <c r="AK26" s="242"/>
      <c r="AL26" s="242"/>
      <c r="AM26" s="242"/>
    </row>
    <row r="27" spans="1:39" ht="15.75" customHeight="1" thickTop="1">
      <c r="A27" s="1569" t="s">
        <v>110</v>
      </c>
      <c r="B27" s="1570"/>
      <c r="C27" s="255"/>
      <c r="D27" s="255"/>
      <c r="E27" s="255"/>
      <c r="F27" s="255"/>
      <c r="G27" s="13"/>
      <c r="H27" s="13"/>
      <c r="I27" s="665"/>
      <c r="J27" s="665"/>
      <c r="K27" s="656"/>
      <c r="L27" s="264"/>
      <c r="M27" s="1569" t="s">
        <v>110</v>
      </c>
      <c r="N27" s="1570"/>
      <c r="U27" s="242"/>
      <c r="V27" s="242"/>
      <c r="W27" s="242"/>
      <c r="X27" s="242"/>
      <c r="Y27" s="242"/>
      <c r="Z27" s="242"/>
      <c r="AA27" s="242"/>
      <c r="AB27" s="242"/>
      <c r="AC27" s="242"/>
      <c r="AD27" s="242"/>
      <c r="AE27" s="242"/>
      <c r="AF27" s="242"/>
      <c r="AG27" s="242"/>
      <c r="AH27" s="242"/>
      <c r="AI27" s="242"/>
      <c r="AJ27" s="242"/>
      <c r="AK27" s="242"/>
      <c r="AL27" s="242"/>
      <c r="AM27" s="242"/>
    </row>
    <row r="28" spans="1:39" ht="15.75" customHeight="1">
      <c r="A28" s="1569" t="s">
        <v>32</v>
      </c>
      <c r="B28" s="1570"/>
      <c r="C28" s="274">
        <f>+SUM(D28:F28)</f>
        <v>0</v>
      </c>
      <c r="D28" s="672"/>
      <c r="E28" s="673"/>
      <c r="F28" s="673"/>
      <c r="G28" s="730" t="e">
        <f>F28/($F$20+$F$26+$F$31)</f>
        <v>#DIV/0!</v>
      </c>
      <c r="H28" s="730" t="e">
        <f>E28/($E$20+$E$26+$E$31)</f>
        <v>#DIV/0!</v>
      </c>
      <c r="I28" s="730" t="e">
        <f>D28/($D$20+$D$26+$D$31)</f>
        <v>#DIV/0!</v>
      </c>
      <c r="J28" s="730" t="e">
        <f>C28/($C$20+$C$26+$C$31)</f>
        <v>#DIV/0!</v>
      </c>
      <c r="K28" s="1220"/>
      <c r="L28" s="673"/>
      <c r="M28" s="1569" t="s">
        <v>32</v>
      </c>
      <c r="N28" s="1570"/>
      <c r="U28" s="242"/>
      <c r="V28" s="242"/>
      <c r="W28" s="242"/>
      <c r="X28" s="242"/>
      <c r="Y28" s="242"/>
      <c r="Z28" s="242"/>
      <c r="AA28" s="242"/>
      <c r="AB28" s="242"/>
      <c r="AC28" s="242"/>
      <c r="AD28" s="242"/>
      <c r="AE28" s="242"/>
      <c r="AF28" s="242"/>
      <c r="AG28" s="242"/>
      <c r="AH28" s="242"/>
      <c r="AI28" s="242"/>
      <c r="AJ28" s="242"/>
      <c r="AK28" s="242"/>
      <c r="AL28" s="242"/>
      <c r="AM28" s="242"/>
    </row>
    <row r="29" spans="1:39" ht="15.75" customHeight="1">
      <c r="A29" s="1569" t="s">
        <v>391</v>
      </c>
      <c r="B29" s="1570"/>
      <c r="C29" s="671">
        <f>+SUM(D29:F29)</f>
        <v>0</v>
      </c>
      <c r="D29" s="672"/>
      <c r="E29" s="673"/>
      <c r="F29" s="673"/>
      <c r="G29" s="730" t="e">
        <f t="shared" ref="G29:G30" si="0">F29/($F$20+$F$26+$F$31)</f>
        <v>#DIV/0!</v>
      </c>
      <c r="H29" s="730" t="e">
        <f t="shared" ref="H29:H30" si="1">E29/($E$20+$E$26+$E$31)</f>
        <v>#DIV/0!</v>
      </c>
      <c r="I29" s="730" t="e">
        <f t="shared" ref="I29:I30" si="2">D29/($D$20+$D$26+$D$31)</f>
        <v>#DIV/0!</v>
      </c>
      <c r="J29" s="730" t="e">
        <f t="shared" ref="J29:J30" si="3">C29/($C$20+$C$26+$C$31)</f>
        <v>#DIV/0!</v>
      </c>
      <c r="K29" s="677"/>
      <c r="L29" s="677"/>
      <c r="M29" s="1569" t="s">
        <v>391</v>
      </c>
      <c r="N29" s="1570"/>
      <c r="P29" s="566"/>
      <c r="U29" s="242"/>
      <c r="V29" s="242"/>
      <c r="W29" s="242"/>
      <c r="X29" s="242"/>
      <c r="Y29" s="242"/>
      <c r="Z29" s="242"/>
      <c r="AA29" s="242"/>
      <c r="AB29" s="242"/>
      <c r="AC29" s="242"/>
      <c r="AD29" s="242"/>
      <c r="AE29" s="242"/>
      <c r="AF29" s="242"/>
      <c r="AG29" s="242"/>
      <c r="AH29" s="242"/>
      <c r="AI29" s="242"/>
      <c r="AJ29" s="242"/>
      <c r="AK29" s="242"/>
      <c r="AL29" s="242"/>
      <c r="AM29" s="242"/>
    </row>
    <row r="30" spans="1:39" s="264" customFormat="1" ht="15.75" customHeight="1">
      <c r="A30" s="1569" t="s">
        <v>390</v>
      </c>
      <c r="B30" s="1570"/>
      <c r="C30" s="671">
        <f>+SUM(D30:F30)</f>
        <v>0</v>
      </c>
      <c r="D30" s="672"/>
      <c r="E30" s="673"/>
      <c r="F30" s="673"/>
      <c r="G30" s="730" t="e">
        <f t="shared" si="0"/>
        <v>#DIV/0!</v>
      </c>
      <c r="H30" s="730" t="e">
        <f t="shared" si="1"/>
        <v>#DIV/0!</v>
      </c>
      <c r="I30" s="730" t="e">
        <f t="shared" si="2"/>
        <v>#DIV/0!</v>
      </c>
      <c r="J30" s="730" t="e">
        <f t="shared" si="3"/>
        <v>#DIV/0!</v>
      </c>
      <c r="K30" s="677"/>
      <c r="L30" s="677"/>
      <c r="M30" s="1569" t="s">
        <v>390</v>
      </c>
      <c r="N30" s="1570"/>
      <c r="O30" s="558"/>
      <c r="P30" s="567"/>
      <c r="Q30" s="567"/>
      <c r="R30" s="567"/>
      <c r="S30" s="229"/>
      <c r="T30" s="290"/>
    </row>
    <row r="31" spans="1:39" ht="15.75" customHeight="1">
      <c r="A31" s="1569" t="s">
        <v>436</v>
      </c>
      <c r="B31" s="1570"/>
      <c r="C31" s="671">
        <f>+SUM(D31:F31)</f>
        <v>0</v>
      </c>
      <c r="D31" s="672"/>
      <c r="E31" s="673"/>
      <c r="F31" s="673"/>
      <c r="G31" s="1336" t="e">
        <f>SUM(G28:G30)</f>
        <v>#DIV/0!</v>
      </c>
      <c r="H31" s="1337" t="e">
        <f t="shared" ref="H31:J31" si="4">SUM(H28:H30)</f>
        <v>#DIV/0!</v>
      </c>
      <c r="I31" s="1337" t="e">
        <f t="shared" si="4"/>
        <v>#DIV/0!</v>
      </c>
      <c r="J31" s="1338" t="e">
        <f t="shared" si="4"/>
        <v>#DIV/0!</v>
      </c>
      <c r="K31" s="677"/>
      <c r="L31" s="677"/>
      <c r="M31" s="1569" t="s">
        <v>436</v>
      </c>
      <c r="N31" s="1570"/>
      <c r="O31" s="228"/>
      <c r="P31" s="568"/>
      <c r="Q31" s="567"/>
      <c r="R31" s="567"/>
      <c r="S31" s="293"/>
      <c r="T31" s="290"/>
      <c r="U31" s="242"/>
      <c r="V31" s="242"/>
      <c r="W31" s="242"/>
      <c r="X31" s="242"/>
      <c r="Y31" s="242"/>
      <c r="Z31" s="242"/>
      <c r="AA31" s="242"/>
      <c r="AB31" s="242"/>
      <c r="AC31" s="242"/>
      <c r="AD31" s="242"/>
      <c r="AE31" s="242"/>
      <c r="AF31" s="242"/>
      <c r="AG31" s="242"/>
      <c r="AH31" s="242"/>
      <c r="AI31" s="242"/>
      <c r="AJ31" s="242"/>
      <c r="AK31" s="242"/>
      <c r="AL31" s="242"/>
      <c r="AM31" s="242"/>
    </row>
    <row r="32" spans="1:39" s="13" customFormat="1" ht="15.75" customHeight="1">
      <c r="A32" s="1569" t="s">
        <v>17</v>
      </c>
      <c r="B32" s="1570"/>
      <c r="C32" s="671">
        <f>+SUM(D32:F32)</f>
        <v>0</v>
      </c>
      <c r="D32" s="672"/>
      <c r="E32" s="673"/>
      <c r="F32" s="673"/>
      <c r="G32" s="730" t="e">
        <f>F32/($F$20+$F$26+$F$28+$F$29+$F$30+$F$31)</f>
        <v>#DIV/0!</v>
      </c>
      <c r="H32" s="730" t="e">
        <f>E32/($E$20+$E$26+$E$28+$E$29+$E$30+$E$31)</f>
        <v>#DIV/0!</v>
      </c>
      <c r="I32" s="730" t="e">
        <f>D32/($D$20+$D$26+$D$28+$D$29+$D$30+$D$31)</f>
        <v>#DIV/0!</v>
      </c>
      <c r="J32" s="730" t="e">
        <f>C32/($C$20+$C$26+$C$28+$C$29+$C$30+$C$31)</f>
        <v>#DIV/0!</v>
      </c>
      <c r="K32" s="677"/>
      <c r="L32" s="677"/>
      <c r="M32" s="1569" t="s">
        <v>17</v>
      </c>
      <c r="N32" s="1570"/>
      <c r="O32" s="569"/>
      <c r="P32" s="570"/>
      <c r="Q32" s="571"/>
      <c r="R32" s="572"/>
      <c r="S32" s="294"/>
      <c r="T32" s="28"/>
    </row>
    <row r="33" spans="1:39" ht="15.75" customHeight="1" thickBot="1">
      <c r="A33" s="1575" t="s">
        <v>470</v>
      </c>
      <c r="B33" s="1629"/>
      <c r="C33" s="1208">
        <f>C20+C26+C28+C29+C30+C31+C32</f>
        <v>0</v>
      </c>
      <c r="D33" s="1207">
        <f>D20+D26+D28+D29+D30+D31+D32</f>
        <v>0</v>
      </c>
      <c r="E33" s="1207">
        <f>E20+E26+E28+E29+E30+E31+E32</f>
        <v>0</v>
      </c>
      <c r="F33" s="1209">
        <f>F20+F26+F28+F29+F30+F31+F32</f>
        <v>0</v>
      </c>
      <c r="G33" s="1313" t="e">
        <f>F33/'Units &amp; Income'!$C$20</f>
        <v>#DIV/0!</v>
      </c>
      <c r="H33" s="1312" t="e">
        <f>D33/'Units &amp; Income'!$C$21</f>
        <v>#DIV/0!</v>
      </c>
      <c r="I33" s="1312" t="e">
        <f>E33/'Units &amp; Income'!$C$22</f>
        <v>#DIV/0!</v>
      </c>
      <c r="J33" s="1312" t="e">
        <f>C33/'Units &amp; Income'!$C$23</f>
        <v>#DIV/0!</v>
      </c>
      <c r="K33" s="236">
        <f>K20+K26+K28+K29+K30+K31+K32</f>
        <v>0</v>
      </c>
      <c r="L33" s="236">
        <f>L20+L26+L28+L29+L30+L31+L32</f>
        <v>0</v>
      </c>
      <c r="M33" s="1575" t="s">
        <v>470</v>
      </c>
      <c r="N33" s="1576"/>
      <c r="O33" s="228"/>
      <c r="P33" s="228"/>
      <c r="Q33" s="228"/>
      <c r="R33" s="228"/>
      <c r="S33" s="13"/>
      <c r="T33" s="13"/>
      <c r="U33" s="242"/>
      <c r="V33" s="242"/>
      <c r="W33" s="242"/>
      <c r="X33" s="242"/>
      <c r="Y33" s="242"/>
      <c r="Z33" s="242"/>
      <c r="AA33" s="242"/>
      <c r="AB33" s="242"/>
      <c r="AC33" s="242"/>
      <c r="AD33" s="242"/>
      <c r="AE33" s="242"/>
      <c r="AF33" s="242"/>
      <c r="AG33" s="242"/>
      <c r="AH33" s="242"/>
      <c r="AI33" s="242"/>
      <c r="AJ33" s="242"/>
      <c r="AK33" s="242"/>
      <c r="AL33" s="242"/>
      <c r="AM33" s="242"/>
    </row>
    <row r="34" spans="1:39" s="264" customFormat="1" ht="15.75" customHeight="1" thickTop="1">
      <c r="A34" s="707"/>
      <c r="B34" s="707"/>
      <c r="C34" s="702" t="s">
        <v>744</v>
      </c>
      <c r="D34" s="702" t="s">
        <v>340</v>
      </c>
      <c r="E34" s="702" t="s">
        <v>748</v>
      </c>
      <c r="F34" s="702"/>
      <c r="G34" s="1632" t="s">
        <v>738</v>
      </c>
      <c r="H34" s="1633"/>
      <c r="I34" s="1633"/>
      <c r="J34" s="716"/>
      <c r="K34" s="708" t="s">
        <v>749</v>
      </c>
      <c r="L34" s="709" t="s">
        <v>750</v>
      </c>
      <c r="M34" s="557"/>
      <c r="N34" s="268"/>
      <c r="O34" s="433"/>
      <c r="P34" s="269"/>
      <c r="Q34" s="228"/>
      <c r="R34" s="228"/>
      <c r="S34" s="228"/>
    </row>
    <row r="35" spans="1:39" ht="16.5" customHeight="1">
      <c r="A35" s="1638" t="s">
        <v>467</v>
      </c>
      <c r="B35" s="1639"/>
      <c r="C35" s="590" t="s">
        <v>746</v>
      </c>
      <c r="D35" s="591" t="s">
        <v>745</v>
      </c>
      <c r="E35" s="592" t="s">
        <v>747</v>
      </c>
      <c r="F35" s="592" t="s">
        <v>165</v>
      </c>
      <c r="G35" s="710" t="s">
        <v>713</v>
      </c>
      <c r="H35" s="710" t="s">
        <v>714</v>
      </c>
      <c r="I35" s="710" t="s">
        <v>427</v>
      </c>
      <c r="J35" s="710" t="s">
        <v>1</v>
      </c>
      <c r="K35" s="593" t="s">
        <v>473</v>
      </c>
      <c r="L35" s="594" t="s">
        <v>476</v>
      </c>
      <c r="M35" s="563"/>
      <c r="P35" s="270"/>
      <c r="Q35" s="271"/>
      <c r="R35" s="272"/>
      <c r="S35" s="228"/>
    </row>
    <row r="36" spans="1:39" ht="15.75" customHeight="1">
      <c r="A36" s="581" t="s">
        <v>392</v>
      </c>
      <c r="B36" s="582"/>
      <c r="C36" s="580">
        <f t="shared" ref="C36:C58" si="5">+SUM(D36:F36)</f>
        <v>0</v>
      </c>
      <c r="D36" s="669"/>
      <c r="E36" s="670"/>
      <c r="F36" s="670"/>
      <c r="G36" s="666"/>
      <c r="H36" s="666"/>
      <c r="I36" s="666"/>
      <c r="J36" s="666"/>
      <c r="K36" s="676"/>
      <c r="L36" s="676"/>
      <c r="M36" s="581" t="s">
        <v>392</v>
      </c>
      <c r="N36" s="582"/>
      <c r="O36" s="270"/>
      <c r="P36" s="270"/>
      <c r="Q36" s="271"/>
      <c r="R36" s="272"/>
      <c r="S36" s="228"/>
    </row>
    <row r="37" spans="1:39" s="244" customFormat="1" ht="15.75" customHeight="1">
      <c r="A37" s="579" t="s">
        <v>85</v>
      </c>
      <c r="B37" s="583"/>
      <c r="C37" s="671">
        <f t="shared" si="5"/>
        <v>0</v>
      </c>
      <c r="D37" s="672"/>
      <c r="E37" s="673"/>
      <c r="F37" s="673"/>
      <c r="G37" s="666"/>
      <c r="H37" s="666"/>
      <c r="I37" s="666"/>
      <c r="J37" s="666"/>
      <c r="K37" s="677"/>
      <c r="L37" s="677"/>
      <c r="M37" s="714" t="s">
        <v>85</v>
      </c>
      <c r="N37" s="715"/>
      <c r="O37" s="270"/>
      <c r="P37" s="270"/>
      <c r="Q37" s="1621"/>
      <c r="R37" s="275"/>
      <c r="S37" s="228"/>
      <c r="T37" s="13"/>
      <c r="U37" s="13"/>
      <c r="V37" s="13"/>
      <c r="W37" s="13"/>
      <c r="X37" s="13"/>
      <c r="Y37" s="13"/>
      <c r="Z37" s="13"/>
      <c r="AA37" s="13"/>
      <c r="AB37" s="13"/>
      <c r="AC37" s="13"/>
      <c r="AD37" s="13"/>
      <c r="AE37" s="13"/>
      <c r="AF37" s="13"/>
      <c r="AG37" s="13"/>
      <c r="AH37" s="13"/>
      <c r="AI37" s="13"/>
      <c r="AJ37" s="13"/>
      <c r="AK37" s="13"/>
      <c r="AL37" s="13"/>
      <c r="AM37" s="13"/>
    </row>
    <row r="38" spans="1:39" s="13" customFormat="1" ht="15.75" customHeight="1">
      <c r="A38" s="579" t="s">
        <v>111</v>
      </c>
      <c r="B38" s="583"/>
      <c r="C38" s="671">
        <f t="shared" si="5"/>
        <v>0</v>
      </c>
      <c r="D38" s="672"/>
      <c r="E38" s="673"/>
      <c r="F38" s="673"/>
      <c r="G38" s="730" t="e">
        <f>F38/F22</f>
        <v>#DIV/0!</v>
      </c>
      <c r="H38" s="730" t="e">
        <f>E38/E24</f>
        <v>#DIV/0!</v>
      </c>
      <c r="I38" s="730" t="e">
        <f>D38/D23</f>
        <v>#DIV/0!</v>
      </c>
      <c r="J38" s="730" t="e">
        <f>C38/C22</f>
        <v>#DIV/0!</v>
      </c>
      <c r="K38" s="677"/>
      <c r="L38" s="677"/>
      <c r="M38" s="714" t="s">
        <v>111</v>
      </c>
      <c r="N38" s="715"/>
      <c r="O38" s="270"/>
      <c r="P38" s="270"/>
      <c r="Q38" s="1622"/>
      <c r="R38" s="272"/>
      <c r="S38" s="228"/>
    </row>
    <row r="39" spans="1:39" s="13" customFormat="1" ht="15.75" customHeight="1">
      <c r="A39" s="579" t="s">
        <v>166</v>
      </c>
      <c r="B39" s="583"/>
      <c r="C39" s="671">
        <f t="shared" si="5"/>
        <v>0</v>
      </c>
      <c r="D39" s="672"/>
      <c r="E39" s="673"/>
      <c r="F39" s="673"/>
      <c r="G39" s="730"/>
      <c r="H39" s="730"/>
      <c r="I39" s="730"/>
      <c r="J39" s="730"/>
      <c r="K39" s="677"/>
      <c r="L39" s="677"/>
      <c r="M39" s="714" t="s">
        <v>166</v>
      </c>
      <c r="N39" s="715"/>
      <c r="O39" s="270"/>
      <c r="P39" s="270"/>
      <c r="Q39" s="271"/>
      <c r="R39" s="272"/>
      <c r="S39" s="228"/>
    </row>
    <row r="40" spans="1:39" ht="15.75" customHeight="1">
      <c r="A40" s="579" t="s">
        <v>50</v>
      </c>
      <c r="B40" s="583"/>
      <c r="C40" s="671">
        <f t="shared" si="5"/>
        <v>0</v>
      </c>
      <c r="D40" s="672"/>
      <c r="E40" s="673"/>
      <c r="F40" s="673"/>
      <c r="G40" s="730"/>
      <c r="H40" s="730"/>
      <c r="I40" s="730"/>
      <c r="J40" s="730"/>
      <c r="K40" s="677"/>
      <c r="L40" s="677"/>
      <c r="M40" s="714" t="s">
        <v>50</v>
      </c>
      <c r="N40" s="715"/>
      <c r="O40" s="270"/>
      <c r="P40" s="270"/>
      <c r="Q40" s="277"/>
      <c r="R40" s="278"/>
      <c r="S40" s="228"/>
    </row>
    <row r="41" spans="1:39" ht="15.75" customHeight="1">
      <c r="A41" s="579" t="s">
        <v>438</v>
      </c>
      <c r="B41" s="583"/>
      <c r="C41" s="671">
        <f t="shared" si="5"/>
        <v>0</v>
      </c>
      <c r="D41" s="672"/>
      <c r="E41" s="673"/>
      <c r="F41" s="673"/>
      <c r="G41" s="730"/>
      <c r="H41" s="730"/>
      <c r="I41" s="730"/>
      <c r="J41" s="730"/>
      <c r="K41" s="677"/>
      <c r="L41" s="677"/>
      <c r="M41" s="714" t="s">
        <v>438</v>
      </c>
      <c r="N41" s="715"/>
      <c r="O41" s="270"/>
      <c r="P41" s="270"/>
      <c r="Q41" s="279"/>
      <c r="R41" s="272"/>
      <c r="S41" s="228"/>
    </row>
    <row r="42" spans="1:39" ht="15.75" customHeight="1">
      <c r="A42" s="579" t="s">
        <v>10</v>
      </c>
      <c r="B42" s="583"/>
      <c r="C42" s="671">
        <f t="shared" si="5"/>
        <v>0</v>
      </c>
      <c r="D42" s="672"/>
      <c r="E42" s="673"/>
      <c r="F42" s="673"/>
      <c r="G42" s="730"/>
      <c r="H42" s="730"/>
      <c r="I42" s="730"/>
      <c r="J42" s="730"/>
      <c r="K42" s="677"/>
      <c r="L42" s="677"/>
      <c r="M42" s="714" t="s">
        <v>10</v>
      </c>
      <c r="N42" s="715"/>
      <c r="O42" s="270"/>
      <c r="P42" s="270"/>
      <c r="Q42" s="279"/>
      <c r="R42" s="272"/>
      <c r="S42" s="228"/>
    </row>
    <row r="43" spans="1:39" ht="15.75" customHeight="1">
      <c r="A43" s="579" t="s">
        <v>439</v>
      </c>
      <c r="B43" s="583"/>
      <c r="C43" s="671">
        <f t="shared" si="5"/>
        <v>0</v>
      </c>
      <c r="D43" s="672"/>
      <c r="E43" s="673"/>
      <c r="F43" s="673"/>
      <c r="G43" s="730"/>
      <c r="H43" s="730"/>
      <c r="I43" s="730"/>
      <c r="J43" s="730"/>
      <c r="K43" s="677"/>
      <c r="L43" s="677"/>
      <c r="M43" s="714" t="s">
        <v>439</v>
      </c>
      <c r="N43" s="715"/>
      <c r="O43" s="270"/>
      <c r="P43" s="270"/>
      <c r="Q43" s="279"/>
      <c r="R43" s="272"/>
      <c r="S43" s="228"/>
    </row>
    <row r="44" spans="1:39" ht="15.75" customHeight="1">
      <c r="A44" s="1409" t="s">
        <v>440</v>
      </c>
      <c r="B44" s="1410"/>
      <c r="C44" s="671">
        <f t="shared" si="5"/>
        <v>0</v>
      </c>
      <c r="D44" s="672"/>
      <c r="E44" s="673"/>
      <c r="F44" s="673"/>
      <c r="G44" s="730"/>
      <c r="H44" s="730"/>
      <c r="I44" s="730"/>
      <c r="J44" s="730"/>
      <c r="K44" s="677"/>
      <c r="L44" s="677"/>
      <c r="M44" s="1409" t="s">
        <v>440</v>
      </c>
      <c r="N44" s="1410"/>
      <c r="O44" s="270"/>
      <c r="P44" s="270"/>
      <c r="Q44" s="279"/>
      <c r="R44" s="272"/>
      <c r="S44" s="228"/>
    </row>
    <row r="45" spans="1:39" ht="15.75" customHeight="1">
      <c r="A45" s="579" t="s">
        <v>113</v>
      </c>
      <c r="B45" s="583"/>
      <c r="C45" s="671">
        <f t="shared" si="5"/>
        <v>0</v>
      </c>
      <c r="D45" s="672"/>
      <c r="E45" s="673"/>
      <c r="F45" s="673"/>
      <c r="G45" s="730"/>
      <c r="H45" s="730"/>
      <c r="I45" s="730"/>
      <c r="J45" s="730"/>
      <c r="K45" s="677"/>
      <c r="L45" s="677"/>
      <c r="M45" s="714" t="s">
        <v>113</v>
      </c>
      <c r="N45" s="715"/>
      <c r="O45" s="270"/>
      <c r="P45" s="270"/>
      <c r="Q45" s="279"/>
      <c r="R45" s="272"/>
      <c r="S45" s="228"/>
    </row>
    <row r="46" spans="1:39" ht="15.75" customHeight="1">
      <c r="A46" s="579" t="s">
        <v>114</v>
      </c>
      <c r="B46" s="583"/>
      <c r="C46" s="671">
        <f t="shared" si="5"/>
        <v>0</v>
      </c>
      <c r="D46" s="672"/>
      <c r="E46" s="673"/>
      <c r="F46" s="673"/>
      <c r="G46" s="730"/>
      <c r="H46" s="730"/>
      <c r="I46" s="730"/>
      <c r="J46" s="730"/>
      <c r="K46" s="677"/>
      <c r="L46" s="677"/>
      <c r="M46" s="714" t="s">
        <v>114</v>
      </c>
      <c r="N46" s="715"/>
      <c r="O46" s="270"/>
      <c r="P46" s="270"/>
      <c r="Q46" s="279"/>
      <c r="R46" s="272"/>
      <c r="S46" s="228"/>
    </row>
    <row r="47" spans="1:39" ht="15.75" customHeight="1">
      <c r="A47" s="579" t="s">
        <v>167</v>
      </c>
      <c r="B47" s="583"/>
      <c r="C47" s="671">
        <f t="shared" si="5"/>
        <v>0</v>
      </c>
      <c r="D47" s="672"/>
      <c r="E47" s="673"/>
      <c r="F47" s="673"/>
      <c r="G47" s="730"/>
      <c r="H47" s="730"/>
      <c r="I47" s="730"/>
      <c r="J47" s="730"/>
      <c r="K47" s="677"/>
      <c r="L47" s="677"/>
      <c r="M47" s="714" t="s">
        <v>167</v>
      </c>
      <c r="N47" s="715"/>
      <c r="O47" s="270"/>
      <c r="P47" s="270"/>
      <c r="Q47" s="279"/>
      <c r="R47" s="272"/>
      <c r="S47" s="228"/>
    </row>
    <row r="48" spans="1:39" ht="15.75" customHeight="1">
      <c r="A48" s="1569" t="s">
        <v>112</v>
      </c>
      <c r="B48" s="1585"/>
      <c r="C48" s="671">
        <f t="shared" si="5"/>
        <v>0</v>
      </c>
      <c r="D48" s="672"/>
      <c r="E48" s="673"/>
      <c r="F48" s="673"/>
      <c r="G48" s="730"/>
      <c r="H48" s="730"/>
      <c r="I48" s="730"/>
      <c r="J48" s="730"/>
      <c r="K48" s="677"/>
      <c r="L48" s="677"/>
      <c r="M48" s="1569" t="s">
        <v>112</v>
      </c>
      <c r="N48" s="1585"/>
      <c r="O48" s="270"/>
      <c r="P48" s="270"/>
      <c r="Q48" s="279"/>
      <c r="R48" s="272"/>
      <c r="S48" s="228"/>
    </row>
    <row r="49" spans="1:39" ht="15.75" customHeight="1">
      <c r="A49" s="1569" t="s">
        <v>445</v>
      </c>
      <c r="B49" s="1570"/>
      <c r="C49" s="671">
        <f t="shared" si="5"/>
        <v>0</v>
      </c>
      <c r="D49" s="672"/>
      <c r="E49" s="673"/>
      <c r="F49" s="673"/>
      <c r="G49" s="730"/>
      <c r="H49" s="730"/>
      <c r="I49" s="730"/>
      <c r="J49" s="730"/>
      <c r="K49" s="677"/>
      <c r="L49" s="677"/>
      <c r="M49" s="1569" t="s">
        <v>445</v>
      </c>
      <c r="N49" s="1570"/>
      <c r="O49" s="270"/>
      <c r="P49" s="270"/>
      <c r="Q49" s="271"/>
      <c r="R49" s="275"/>
      <c r="S49" s="228"/>
    </row>
    <row r="50" spans="1:39" s="13" customFormat="1" ht="15.75" customHeight="1">
      <c r="A50" s="1569" t="s">
        <v>463</v>
      </c>
      <c r="B50" s="1570"/>
      <c r="C50" s="671">
        <f t="shared" si="5"/>
        <v>0</v>
      </c>
      <c r="D50" s="674"/>
      <c r="E50" s="674"/>
      <c r="F50" s="673"/>
      <c r="G50" s="730"/>
      <c r="H50" s="730"/>
      <c r="I50" s="730"/>
      <c r="J50" s="730"/>
      <c r="K50" s="678"/>
      <c r="L50" s="678"/>
      <c r="M50" s="1569" t="s">
        <v>463</v>
      </c>
      <c r="N50" s="1570"/>
      <c r="O50" s="228"/>
      <c r="P50" s="228"/>
      <c r="Q50" s="228"/>
      <c r="R50" s="228"/>
      <c r="S50" s="228"/>
    </row>
    <row r="51" spans="1:39" ht="15.75" customHeight="1">
      <c r="A51" s="1569" t="s">
        <v>446</v>
      </c>
      <c r="B51" s="1570"/>
      <c r="C51" s="671">
        <f t="shared" si="5"/>
        <v>0</v>
      </c>
      <c r="D51" s="674"/>
      <c r="E51" s="675"/>
      <c r="F51" s="675">
        <f>0.08*('Sources and Uses'!G3+'Sources and Uses'!G5)</f>
        <v>0</v>
      </c>
      <c r="G51" s="730"/>
      <c r="H51" s="730"/>
      <c r="I51" s="730"/>
      <c r="J51" s="730"/>
      <c r="K51" s="678"/>
      <c r="L51" s="678"/>
      <c r="M51" s="1569" t="s">
        <v>446</v>
      </c>
      <c r="N51" s="1570"/>
      <c r="O51" s="270"/>
      <c r="P51" s="270"/>
      <c r="Q51" s="271"/>
      <c r="R51" s="282"/>
      <c r="S51" s="228"/>
    </row>
    <row r="52" spans="1:39" ht="15.75" customHeight="1">
      <c r="A52" s="1569" t="s">
        <v>447</v>
      </c>
      <c r="B52" s="1570"/>
      <c r="C52" s="671">
        <f t="shared" si="5"/>
        <v>0</v>
      </c>
      <c r="D52" s="672"/>
      <c r="E52" s="673"/>
      <c r="F52" s="673"/>
      <c r="G52" s="730"/>
      <c r="H52" s="730"/>
      <c r="I52" s="730"/>
      <c r="J52" s="730"/>
      <c r="K52" s="678"/>
      <c r="L52" s="678"/>
      <c r="M52" s="1569" t="s">
        <v>447</v>
      </c>
      <c r="N52" s="1570"/>
      <c r="O52" s="269"/>
      <c r="P52" s="269"/>
      <c r="Q52" s="228"/>
      <c r="R52" s="228"/>
      <c r="S52" s="228"/>
    </row>
    <row r="53" spans="1:39" ht="15.75" customHeight="1">
      <c r="A53" s="1569" t="s">
        <v>448</v>
      </c>
      <c r="B53" s="1570"/>
      <c r="C53" s="671">
        <f>+SUM(D53:F53)</f>
        <v>0</v>
      </c>
      <c r="D53" s="675">
        <f>D90</f>
        <v>0</v>
      </c>
      <c r="E53" s="675">
        <f>F90</f>
        <v>0</v>
      </c>
      <c r="F53" s="675">
        <f>H90</f>
        <v>0</v>
      </c>
      <c r="G53" s="730"/>
      <c r="H53" s="730"/>
      <c r="I53" s="730"/>
      <c r="J53" s="730"/>
      <c r="K53" s="677"/>
      <c r="L53" s="677"/>
      <c r="M53" s="1569" t="s">
        <v>448</v>
      </c>
      <c r="N53" s="1570"/>
      <c r="O53" s="228"/>
      <c r="P53" s="228"/>
      <c r="Q53" s="228"/>
      <c r="R53" s="228"/>
      <c r="S53" s="228"/>
    </row>
    <row r="54" spans="1:39" s="244" customFormat="1" ht="15.75" customHeight="1">
      <c r="A54" s="1569" t="s">
        <v>818</v>
      </c>
      <c r="B54" s="1584"/>
      <c r="C54" s="671">
        <f>+SUM(D54:F54)</f>
        <v>0</v>
      </c>
      <c r="D54" s="673"/>
      <c r="E54" s="673"/>
      <c r="F54" s="673"/>
      <c r="G54" s="730" t="e">
        <f>F54/(F36+F37+F38+F39+F40+F41+F42+F43+F45+F46+F47+F48+F49+F50+F51+F52+F53+F65+F69)</f>
        <v>#DIV/0!</v>
      </c>
      <c r="H54" s="730" t="e">
        <f>E54/(E36+E37+E38+E39+E40+E41+E42+E43+E45+E46+E47+E48+E49+E50+E51+E52+E53+E65+E69)</f>
        <v>#DIV/0!</v>
      </c>
      <c r="I54" s="730" t="e">
        <f>D54/(D36+D37+D38+D39+D40+D41+D42+D43+D45+D46+D47+D48+D49+D50+D51+D52+D53+D65+D69)</f>
        <v>#DIV/0!</v>
      </c>
      <c r="J54" s="730" t="e">
        <f>C54/(C36+C37+C38+C39+C40+C41+C42+C43+C45+C46+C47+C48+C49+C50+C51+C52+C53+C65+C69)</f>
        <v>#DIV/0!</v>
      </c>
      <c r="K54" s="677"/>
      <c r="L54" s="677"/>
      <c r="M54" s="1569" t="s">
        <v>818</v>
      </c>
      <c r="N54" s="1584"/>
      <c r="O54" s="228"/>
      <c r="P54" s="228"/>
      <c r="Q54" s="228"/>
      <c r="R54" s="228"/>
      <c r="S54" s="228"/>
      <c r="T54" s="13"/>
      <c r="U54" s="13"/>
      <c r="V54" s="13"/>
      <c r="W54" s="13"/>
      <c r="X54" s="13"/>
      <c r="Y54" s="13"/>
      <c r="Z54" s="13"/>
      <c r="AA54" s="13"/>
      <c r="AB54" s="13"/>
      <c r="AC54" s="13"/>
      <c r="AD54" s="13"/>
      <c r="AE54" s="13"/>
      <c r="AF54" s="13"/>
      <c r="AG54" s="13"/>
      <c r="AH54" s="13"/>
      <c r="AI54" s="13"/>
      <c r="AJ54" s="13"/>
      <c r="AK54" s="13"/>
      <c r="AL54" s="13"/>
      <c r="AM54" s="13"/>
    </row>
    <row r="55" spans="1:39" ht="15.75" customHeight="1">
      <c r="A55" s="1588" t="s">
        <v>466</v>
      </c>
      <c r="B55" s="1587"/>
      <c r="C55" s="671">
        <f t="shared" si="5"/>
        <v>0</v>
      </c>
      <c r="D55" s="675"/>
      <c r="E55" s="674"/>
      <c r="F55" s="673"/>
      <c r="G55" s="1411">
        <f>(F36+F37+F38+F39+F40+F41+F42+F43+F45+F46+F47+F48+F50+F51+F52+F53+F65+F69)*0.05</f>
        <v>0</v>
      </c>
      <c r="H55" s="1411">
        <f>(E36+E37+E38+E39+E40+E41+E42+E43+E45+E46+E47+E48+E50+E51+E52+E53+E65+E69)*0.05</f>
        <v>0</v>
      </c>
      <c r="I55" s="1411">
        <f>(D36+D37+D38+D39+D40+D41+D42+D43+D45+D46+D47+D48+D50+D51+D52+D53+D65+D69)*0.05</f>
        <v>0</v>
      </c>
      <c r="J55" s="1411">
        <f>(C36+C37+C38+C39+C40+C41+C42+C43+C45+C46+C47+C48+C50+C51+C52+C53+C65+C69)*0.05</f>
        <v>0</v>
      </c>
      <c r="K55" s="678"/>
      <c r="L55" s="678"/>
      <c r="M55" s="1586" t="s">
        <v>466</v>
      </c>
      <c r="N55" s="1587"/>
      <c r="O55" s="269"/>
      <c r="P55" s="269"/>
      <c r="Q55" s="228"/>
      <c r="R55" s="228"/>
      <c r="S55" s="228"/>
    </row>
    <row r="56" spans="1:39" ht="15.75" customHeight="1">
      <c r="A56" s="1588" t="s">
        <v>699</v>
      </c>
      <c r="B56" s="1589"/>
      <c r="C56" s="671">
        <f t="shared" si="5"/>
        <v>0</v>
      </c>
      <c r="D56" s="675"/>
      <c r="E56" s="674"/>
      <c r="F56" s="673"/>
      <c r="G56" s="666"/>
      <c r="H56" s="666"/>
      <c r="I56" s="666"/>
      <c r="J56" s="666"/>
      <c r="K56" s="678"/>
      <c r="L56" s="678"/>
      <c r="M56" s="1588" t="s">
        <v>699</v>
      </c>
      <c r="N56" s="1589"/>
      <c r="O56" s="228"/>
      <c r="P56" s="228"/>
      <c r="Q56" s="271"/>
      <c r="R56" s="283"/>
      <c r="S56" s="284"/>
    </row>
    <row r="57" spans="1:39" ht="15.75" customHeight="1">
      <c r="A57" s="1588" t="s">
        <v>12</v>
      </c>
      <c r="B57" s="1589"/>
      <c r="C57" s="671">
        <f t="shared" si="5"/>
        <v>0</v>
      </c>
      <c r="D57" s="675"/>
      <c r="E57" s="674"/>
      <c r="F57" s="673"/>
      <c r="G57" s="666"/>
      <c r="H57" s="666"/>
      <c r="I57" s="666"/>
      <c r="J57" s="666"/>
      <c r="K57" s="678"/>
      <c r="L57" s="678"/>
      <c r="M57" s="1588" t="s">
        <v>12</v>
      </c>
      <c r="N57" s="1589"/>
      <c r="O57" s="228"/>
      <c r="P57" s="228"/>
      <c r="Q57" s="271"/>
      <c r="R57" s="272"/>
      <c r="S57" s="228"/>
    </row>
    <row r="58" spans="1:39" ht="15.75" customHeight="1">
      <c r="A58" s="1588" t="s">
        <v>465</v>
      </c>
      <c r="B58" s="1589"/>
      <c r="C58" s="671">
        <f t="shared" si="5"/>
        <v>0</v>
      </c>
      <c r="D58" s="672"/>
      <c r="E58" s="673"/>
      <c r="F58" s="673"/>
      <c r="G58" s="666"/>
      <c r="H58" s="666"/>
      <c r="I58" s="666"/>
      <c r="J58" s="666"/>
      <c r="K58" s="677"/>
      <c r="L58" s="677"/>
      <c r="M58" s="1588" t="s">
        <v>465</v>
      </c>
      <c r="N58" s="1589"/>
      <c r="O58" s="228"/>
      <c r="P58" s="228"/>
      <c r="Q58" s="271"/>
      <c r="R58" s="282"/>
      <c r="S58" s="228"/>
      <c r="U58" s="285"/>
    </row>
    <row r="59" spans="1:39" s="264" customFormat="1" ht="15.75" customHeight="1" thickBot="1">
      <c r="A59" s="1575" t="s">
        <v>477</v>
      </c>
      <c r="B59" s="1576"/>
      <c r="C59" s="20">
        <f>SUM(C36:C58)</f>
        <v>0</v>
      </c>
      <c r="D59" s="20">
        <f>SUM(D36:D58)</f>
        <v>0</v>
      </c>
      <c r="E59" s="20">
        <f>SUM(E36:E58)</f>
        <v>0</v>
      </c>
      <c r="F59" s="20">
        <f>SUM(F36:F58)</f>
        <v>0</v>
      </c>
      <c r="G59" s="711"/>
      <c r="H59" s="711"/>
      <c r="I59" s="711"/>
      <c r="J59" s="711"/>
      <c r="K59" s="650">
        <f>SUM(K36:K58)</f>
        <v>0</v>
      </c>
      <c r="L59" s="651">
        <f>SUM(L36:L58)</f>
        <v>0</v>
      </c>
      <c r="M59" s="1575" t="s">
        <v>477</v>
      </c>
      <c r="N59" s="1576"/>
      <c r="O59" s="269"/>
      <c r="P59" s="269"/>
      <c r="Q59" s="228"/>
      <c r="R59" s="228"/>
      <c r="S59" s="228"/>
    </row>
    <row r="60" spans="1:39" ht="15.75" customHeight="1" thickTop="1">
      <c r="A60" s="1573" t="s">
        <v>462</v>
      </c>
      <c r="B60" s="1630"/>
      <c r="C60" s="24"/>
      <c r="D60" s="225"/>
      <c r="E60" s="225"/>
      <c r="F60" s="24"/>
      <c r="G60" s="18"/>
      <c r="H60" s="18"/>
      <c r="I60" s="18"/>
      <c r="J60" s="18"/>
      <c r="K60" s="653"/>
      <c r="L60" s="654"/>
      <c r="M60" s="1573" t="s">
        <v>462</v>
      </c>
      <c r="N60" s="1577"/>
      <c r="P60" s="228"/>
      <c r="Q60" s="271"/>
      <c r="R60" s="272"/>
      <c r="S60" s="228"/>
    </row>
    <row r="61" spans="1:39" ht="15.75" customHeight="1">
      <c r="A61" s="1569" t="s">
        <v>461</v>
      </c>
      <c r="B61" s="1570"/>
      <c r="C61" s="274">
        <f>+SUM(D61:F61)</f>
        <v>0</v>
      </c>
      <c r="D61" s="681">
        <f>' Project Debt &amp; NOI'!D41</f>
        <v>0</v>
      </c>
      <c r="E61" s="682">
        <f>' Project Debt &amp; NOI'!D42</f>
        <v>0</v>
      </c>
      <c r="F61" s="684">
        <f>' Project Debt &amp; NOI'!D40</f>
        <v>0</v>
      </c>
      <c r="G61" s="666"/>
      <c r="H61" s="666"/>
      <c r="I61" s="666"/>
      <c r="J61" s="666"/>
      <c r="K61" s="685"/>
      <c r="L61" s="686"/>
      <c r="M61" s="1569" t="s">
        <v>461</v>
      </c>
      <c r="N61" s="1570"/>
      <c r="P61" s="228"/>
      <c r="Q61" s="228"/>
      <c r="R61" s="228"/>
      <c r="S61" s="230"/>
    </row>
    <row r="62" spans="1:39" ht="15.75" customHeight="1">
      <c r="A62" s="1569" t="s">
        <v>460</v>
      </c>
      <c r="B62" s="1570"/>
      <c r="C62" s="671">
        <f>+SUM(D62:F62)</f>
        <v>0</v>
      </c>
      <c r="D62" s="672"/>
      <c r="E62" s="673"/>
      <c r="F62" s="683"/>
      <c r="G62" s="666"/>
      <c r="H62" s="666"/>
      <c r="I62" s="666"/>
      <c r="J62" s="666"/>
      <c r="K62" s="677"/>
      <c r="L62" s="677"/>
      <c r="M62" s="1569" t="s">
        <v>460</v>
      </c>
      <c r="N62" s="1570"/>
      <c r="P62" s="228"/>
      <c r="Q62" s="228"/>
      <c r="R62" s="228"/>
      <c r="S62" s="230"/>
    </row>
    <row r="63" spans="1:39" ht="15.75" customHeight="1">
      <c r="A63" s="1569" t="s">
        <v>737</v>
      </c>
      <c r="B63" s="1570"/>
      <c r="C63" s="671">
        <f>+SUM(D63:F63)</f>
        <v>0</v>
      </c>
      <c r="D63" s="672"/>
      <c r="E63" s="673"/>
      <c r="F63" s="673"/>
      <c r="G63" s="666"/>
      <c r="H63" s="666"/>
      <c r="I63" s="666"/>
      <c r="J63" s="666"/>
      <c r="K63" s="677"/>
      <c r="L63" s="677"/>
      <c r="M63" s="1569" t="s">
        <v>737</v>
      </c>
      <c r="N63" s="1570"/>
      <c r="P63" s="269"/>
      <c r="Q63" s="228"/>
      <c r="R63" s="228"/>
      <c r="S63" s="230"/>
    </row>
    <row r="64" spans="1:39" ht="15.75" customHeight="1">
      <c r="A64" s="1569" t="s">
        <v>444</v>
      </c>
      <c r="B64" s="1570"/>
      <c r="C64" s="671">
        <f>+SUM(D64:F64)</f>
        <v>0</v>
      </c>
      <c r="D64" s="672"/>
      <c r="E64" s="673"/>
      <c r="F64" s="673"/>
      <c r="G64" s="666"/>
      <c r="H64" s="666"/>
      <c r="I64" s="666"/>
      <c r="J64" s="666"/>
      <c r="K64" s="677"/>
      <c r="L64" s="677"/>
      <c r="M64" s="1569" t="s">
        <v>444</v>
      </c>
      <c r="N64" s="1570"/>
      <c r="P64" s="228"/>
      <c r="Q64" s="271"/>
      <c r="R64" s="283"/>
      <c r="S64" s="230"/>
    </row>
    <row r="65" spans="1:39" s="286" customFormat="1" ht="15.75" customHeight="1" thickBot="1">
      <c r="A65" s="1575" t="s">
        <v>478</v>
      </c>
      <c r="B65" s="1576"/>
      <c r="C65" s="288">
        <f>SUM(C61:C64)</f>
        <v>0</v>
      </c>
      <c r="D65" s="288">
        <f>SUM(D61:D64)</f>
        <v>0</v>
      </c>
      <c r="E65" s="288">
        <f>SUM(E61:E64)</f>
        <v>0</v>
      </c>
      <c r="F65" s="288">
        <f>SUM(F61:F64)</f>
        <v>0</v>
      </c>
      <c r="G65" s="666"/>
      <c r="H65" s="666"/>
      <c r="I65" s="666"/>
      <c r="J65" s="666"/>
      <c r="K65" s="655">
        <f>SUM(K61:K64)</f>
        <v>0</v>
      </c>
      <c r="L65" s="655">
        <f>SUM(L61:L64)</f>
        <v>0</v>
      </c>
      <c r="M65" s="1575" t="s">
        <v>478</v>
      </c>
      <c r="N65" s="1576"/>
      <c r="O65" s="433"/>
      <c r="P65" s="228"/>
      <c r="Q65" s="287"/>
      <c r="R65" s="272"/>
      <c r="S65" s="230"/>
      <c r="T65" s="27"/>
      <c r="U65" s="27"/>
      <c r="V65" s="27"/>
      <c r="W65" s="27"/>
      <c r="X65" s="27"/>
      <c r="Y65" s="27"/>
      <c r="Z65" s="27"/>
      <c r="AA65" s="27"/>
      <c r="AB65" s="27"/>
      <c r="AC65" s="27"/>
      <c r="AD65" s="27"/>
      <c r="AE65" s="27"/>
      <c r="AF65" s="27"/>
      <c r="AG65" s="27"/>
      <c r="AH65" s="27"/>
      <c r="AI65" s="27"/>
      <c r="AJ65" s="27"/>
      <c r="AK65" s="27"/>
      <c r="AL65" s="27"/>
      <c r="AM65" s="27"/>
    </row>
    <row r="66" spans="1:39" ht="15.75" customHeight="1" thickTop="1">
      <c r="A66" s="1573" t="s">
        <v>459</v>
      </c>
      <c r="B66" s="1630"/>
      <c r="C66" s="223"/>
      <c r="D66" s="223"/>
      <c r="E66" s="24"/>
      <c r="F66" s="24"/>
      <c r="G66" s="726"/>
      <c r="H66" s="726"/>
      <c r="I66" s="726"/>
      <c r="J66" s="726"/>
      <c r="K66" s="656"/>
      <c r="L66" s="689"/>
      <c r="M66" s="1573" t="s">
        <v>459</v>
      </c>
      <c r="N66" s="1577"/>
      <c r="P66" s="228"/>
      <c r="Q66" s="271"/>
      <c r="R66" s="282"/>
      <c r="S66" s="230"/>
    </row>
    <row r="67" spans="1:39" ht="15.75" customHeight="1">
      <c r="A67" s="1569" t="s">
        <v>458</v>
      </c>
      <c r="B67" s="1570"/>
      <c r="C67" s="274">
        <f>+SUM(D67:F67)</f>
        <v>0</v>
      </c>
      <c r="D67" s="687"/>
      <c r="E67" s="688"/>
      <c r="F67" s="688"/>
      <c r="G67" s="727"/>
      <c r="H67" s="727"/>
      <c r="I67" s="727"/>
      <c r="J67" s="727"/>
      <c r="K67" s="677"/>
      <c r="L67" s="673"/>
      <c r="M67" s="1569" t="s">
        <v>458</v>
      </c>
      <c r="N67" s="1570"/>
      <c r="P67" s="228"/>
      <c r="Q67" s="271"/>
      <c r="R67" s="282"/>
      <c r="S67" s="230"/>
    </row>
    <row r="68" spans="1:39" ht="15.75" customHeight="1">
      <c r="A68" s="1569" t="s">
        <v>393</v>
      </c>
      <c r="B68" s="1570"/>
      <c r="C68" s="671">
        <f>+SUM(D68:F68)</f>
        <v>0</v>
      </c>
      <c r="D68" s="672"/>
      <c r="E68" s="673"/>
      <c r="F68" s="673"/>
      <c r="G68" s="727"/>
      <c r="H68" s="727"/>
      <c r="I68" s="727"/>
      <c r="J68" s="727"/>
      <c r="K68" s="677"/>
      <c r="L68" s="677"/>
      <c r="M68" s="1569" t="s">
        <v>393</v>
      </c>
      <c r="N68" s="1570"/>
      <c r="P68" s="559"/>
      <c r="Q68" s="559"/>
      <c r="R68" s="559"/>
      <c r="S68" s="232"/>
    </row>
    <row r="69" spans="1:39" ht="15.75" customHeight="1" thickBot="1">
      <c r="A69" s="1575" t="s">
        <v>479</v>
      </c>
      <c r="B69" s="1576"/>
      <c r="C69" s="289">
        <f>SUM(C67:C68)</f>
        <v>0</v>
      </c>
      <c r="D69" s="289">
        <f>SUM(D67:D68)</f>
        <v>0</v>
      </c>
      <c r="E69" s="289">
        <f>SUM(E67:E68)</f>
        <v>0</v>
      </c>
      <c r="F69" s="289">
        <f>SUM(F67:F68)</f>
        <v>0</v>
      </c>
      <c r="G69" s="728"/>
      <c r="H69" s="728"/>
      <c r="I69" s="728"/>
      <c r="J69" s="728"/>
      <c r="K69" s="657">
        <f>SUM(K67:K68)</f>
        <v>0</v>
      </c>
      <c r="L69" s="651">
        <f>SUM(L67:L68)</f>
        <v>0</v>
      </c>
      <c r="M69" s="1575" t="s">
        <v>479</v>
      </c>
      <c r="N69" s="1576"/>
      <c r="P69" s="228"/>
      <c r="Q69" s="228"/>
      <c r="R69" s="228"/>
      <c r="S69" s="230"/>
    </row>
    <row r="70" spans="1:39" ht="15.75" customHeight="1" thickTop="1">
      <c r="A70" s="1578"/>
      <c r="B70" s="1579"/>
      <c r="C70" s="291"/>
      <c r="D70" s="291"/>
      <c r="E70" s="292"/>
      <c r="F70" s="292"/>
      <c r="G70" s="1632" t="s">
        <v>183</v>
      </c>
      <c r="H70" s="1633"/>
      <c r="I70" s="1633"/>
      <c r="J70" s="719"/>
      <c r="K70" s="658"/>
      <c r="L70" s="652"/>
      <c r="M70" s="1578"/>
      <c r="N70" s="1579"/>
      <c r="P70" s="559"/>
      <c r="Q70" s="228"/>
      <c r="R70" s="228"/>
      <c r="S70" s="232"/>
    </row>
    <row r="71" spans="1:39" s="264" customFormat="1" ht="15.75" customHeight="1" thickBot="1">
      <c r="A71" s="1580" t="s">
        <v>116</v>
      </c>
      <c r="B71" s="1581"/>
      <c r="C71" s="595">
        <f>SUM(C59+C65+C69)</f>
        <v>0</v>
      </c>
      <c r="D71" s="595">
        <f>SUM(D59+D65+D69)</f>
        <v>0</v>
      </c>
      <c r="E71" s="595">
        <f>SUM(E59+E65+E69)</f>
        <v>0</v>
      </c>
      <c r="F71" s="595">
        <f>SUM(F59+F65+F69)</f>
        <v>0</v>
      </c>
      <c r="G71" s="1314" t="e">
        <f>F71/F77</f>
        <v>#DIV/0!</v>
      </c>
      <c r="H71" s="1315" t="e">
        <f>E71/E77</f>
        <v>#DIV/0!</v>
      </c>
      <c r="I71" s="1316" t="e">
        <f>D71/D77</f>
        <v>#DIV/0!</v>
      </c>
      <c r="J71" s="1317" t="e">
        <f>C71/C77</f>
        <v>#DIV/0!</v>
      </c>
      <c r="K71" s="595">
        <f>SUM(K59+K65+K69)</f>
        <v>0</v>
      </c>
      <c r="L71" s="595">
        <f>SUM(L59+L65+L69)</f>
        <v>0</v>
      </c>
      <c r="M71" s="1580" t="s">
        <v>116</v>
      </c>
      <c r="N71" s="1581"/>
      <c r="O71" s="433"/>
      <c r="P71" s="433"/>
      <c r="Q71" s="433"/>
      <c r="R71" s="433"/>
      <c r="S71" s="7"/>
    </row>
    <row r="72" spans="1:39" s="264" customFormat="1" ht="15.75" customHeight="1" thickTop="1">
      <c r="A72" s="1663"/>
      <c r="B72" s="1664"/>
      <c r="C72" s="1292"/>
      <c r="D72" s="29"/>
      <c r="E72" s="29"/>
      <c r="F72" s="29"/>
      <c r="G72" s="710" t="s">
        <v>713</v>
      </c>
      <c r="H72" s="710" t="s">
        <v>714</v>
      </c>
      <c r="I72" s="710" t="s">
        <v>427</v>
      </c>
      <c r="J72" s="725" t="s">
        <v>1</v>
      </c>
      <c r="K72" s="662"/>
      <c r="L72" s="663"/>
      <c r="M72" s="1569"/>
      <c r="N72" s="1570"/>
      <c r="O72" s="433"/>
      <c r="P72" s="574"/>
      <c r="Q72" s="433"/>
      <c r="R72" s="433"/>
    </row>
    <row r="73" spans="1:39" ht="15.75" customHeight="1">
      <c r="A73" s="1569" t="s">
        <v>168</v>
      </c>
      <c r="B73" s="1570"/>
      <c r="C73" s="274">
        <f>SUM(D73:F73)</f>
        <v>0</v>
      </c>
      <c r="D73" s="304"/>
      <c r="E73" s="276"/>
      <c r="F73" s="673"/>
      <c r="G73" s="729" t="e">
        <f>F73/F77</f>
        <v>#DIV/0!</v>
      </c>
      <c r="H73" s="729" t="s">
        <v>715</v>
      </c>
      <c r="I73" s="730" t="e">
        <f>D73/D77</f>
        <v>#DIV/0!</v>
      </c>
      <c r="J73" s="729" t="e">
        <f>C73/C77</f>
        <v>#DIV/0!</v>
      </c>
      <c r="K73" s="411"/>
      <c r="L73" s="411"/>
      <c r="M73" s="1569" t="s">
        <v>168</v>
      </c>
      <c r="N73" s="1570"/>
      <c r="P73" s="575"/>
      <c r="U73" s="242"/>
      <c r="V73" s="242"/>
      <c r="W73" s="242"/>
      <c r="X73" s="242"/>
      <c r="Y73" s="242"/>
      <c r="Z73" s="242"/>
      <c r="AA73" s="242"/>
      <c r="AB73" s="242"/>
      <c r="AC73" s="242"/>
      <c r="AD73" s="242"/>
      <c r="AE73" s="242"/>
      <c r="AF73" s="242"/>
      <c r="AG73" s="242"/>
      <c r="AH73" s="242"/>
      <c r="AI73" s="242"/>
      <c r="AJ73" s="242"/>
      <c r="AK73" s="242"/>
      <c r="AL73" s="242"/>
      <c r="AM73" s="242"/>
    </row>
    <row r="74" spans="1:39" s="264" customFormat="1" ht="15.75" customHeight="1">
      <c r="A74" s="1569" t="s">
        <v>606</v>
      </c>
      <c r="B74" s="1570"/>
      <c r="C74" s="671">
        <f>D74+E74+F74</f>
        <v>0</v>
      </c>
      <c r="D74" s="296"/>
      <c r="E74" s="276"/>
      <c r="F74" s="304"/>
      <c r="G74" s="30"/>
      <c r="H74" s="22"/>
      <c r="I74" s="1198"/>
      <c r="J74" s="1199" t="s">
        <v>700</v>
      </c>
      <c r="K74" s="1200">
        <f>K12</f>
        <v>0</v>
      </c>
      <c r="L74" s="1200">
        <f>L12</f>
        <v>0</v>
      </c>
      <c r="M74" s="1569" t="s">
        <v>606</v>
      </c>
      <c r="N74" s="1570"/>
      <c r="O74" s="433"/>
      <c r="P74" s="575"/>
      <c r="Q74" s="433"/>
      <c r="R74" s="433"/>
    </row>
    <row r="75" spans="1:39" s="264" customFormat="1" ht="15.75" customHeight="1">
      <c r="A75" s="1569" t="s">
        <v>610</v>
      </c>
      <c r="B75" s="1570"/>
      <c r="C75" s="671">
        <f>D75+E75+F75</f>
        <v>0</v>
      </c>
      <c r="D75" s="304"/>
      <c r="E75" s="304"/>
      <c r="F75" s="304"/>
      <c r="G75" s="30"/>
      <c r="H75" s="22"/>
      <c r="I75" s="1198"/>
      <c r="J75" s="1199" t="s">
        <v>481</v>
      </c>
      <c r="K75" s="1200">
        <f>K33+K71+K73</f>
        <v>0</v>
      </c>
      <c r="L75" s="1200">
        <f>L33+L71+L73</f>
        <v>0</v>
      </c>
      <c r="M75" s="1569" t="s">
        <v>443</v>
      </c>
      <c r="N75" s="1570"/>
      <c r="O75" s="433"/>
      <c r="P75" s="433"/>
      <c r="Q75" s="433"/>
      <c r="R75" s="433"/>
    </row>
    <row r="76" spans="1:39" s="264" customFormat="1" ht="15.75" customHeight="1">
      <c r="A76" s="1569"/>
      <c r="B76" s="1570"/>
      <c r="C76" s="712" t="s">
        <v>1</v>
      </c>
      <c r="D76" s="712" t="s">
        <v>427</v>
      </c>
      <c r="E76" s="713" t="s">
        <v>714</v>
      </c>
      <c r="F76" s="712" t="s">
        <v>713</v>
      </c>
      <c r="G76" s="6"/>
      <c r="H76" s="22"/>
      <c r="I76" s="6"/>
      <c r="J76" s="6"/>
      <c r="K76" s="25"/>
      <c r="L76" s="667">
        <f>N39</f>
        <v>0</v>
      </c>
      <c r="M76" s="1569"/>
      <c r="N76" s="1570"/>
      <c r="O76" s="558"/>
      <c r="P76" s="433"/>
      <c r="Q76" s="433"/>
      <c r="R76" s="433"/>
    </row>
    <row r="77" spans="1:39" s="264" customFormat="1" ht="20.100000000000001" customHeight="1">
      <c r="A77" s="1661" t="s">
        <v>164</v>
      </c>
      <c r="B77" s="1662"/>
      <c r="C77" s="721">
        <f>C12+C33+C71+C73+C74+C75</f>
        <v>0</v>
      </c>
      <c r="D77" s="721">
        <f>D12+D33+D71+D73+D74+D75</f>
        <v>0</v>
      </c>
      <c r="E77" s="721">
        <f>E12+E33+E71+E74+E75</f>
        <v>0</v>
      </c>
      <c r="F77" s="721">
        <f>F12+F33+F71+F74+F75+F73</f>
        <v>0</v>
      </c>
      <c r="G77" s="722" t="e">
        <f>F77/C77</f>
        <v>#DIV/0!</v>
      </c>
      <c r="H77" s="722" t="e">
        <f>D77/G7</f>
        <v>#DIV/0!</v>
      </c>
      <c r="I77" s="722" t="e">
        <f>D77/C77</f>
        <v>#DIV/0!</v>
      </c>
      <c r="J77" s="722"/>
      <c r="K77" s="723"/>
      <c r="L77" s="724"/>
      <c r="M77" s="1571" t="s">
        <v>164</v>
      </c>
      <c r="N77" s="1572"/>
      <c r="O77" s="228"/>
      <c r="P77" s="433"/>
      <c r="Q77" s="433"/>
      <c r="R77" s="433"/>
    </row>
    <row r="78" spans="1:39" s="264" customFormat="1" ht="16.5" thickBot="1">
      <c r="A78" s="1659" t="s">
        <v>612</v>
      </c>
      <c r="B78" s="1660"/>
      <c r="C78" s="584">
        <f>SUM(D78:F78)</f>
        <v>0</v>
      </c>
      <c r="D78" s="585">
        <f>((0.1*D12)+ 0.15*(D33-D32)+0.15*(D71-(D55+D56+D57+D58+D54)))</f>
        <v>0</v>
      </c>
      <c r="E78" s="585">
        <v>0</v>
      </c>
      <c r="F78" s="585">
        <f>((0.1*F12)+ 0.15*(F33-F32)+0.15*(F71-(F55+F56+F57+F58+F54)))</f>
        <v>0</v>
      </c>
      <c r="G78" s="586"/>
      <c r="H78" s="586"/>
      <c r="I78" s="586"/>
      <c r="J78" s="586"/>
      <c r="K78" s="587"/>
      <c r="L78" s="588"/>
      <c r="M78" s="1573" t="s">
        <v>751</v>
      </c>
      <c r="N78" s="1574"/>
      <c r="O78" s="569"/>
      <c r="P78" s="433"/>
      <c r="Q78" s="433"/>
      <c r="R78" s="433"/>
    </row>
    <row r="79" spans="1:39" s="264" customFormat="1" ht="16.5" thickTop="1">
      <c r="B79" s="1657" t="s">
        <v>450</v>
      </c>
      <c r="C79" s="1658"/>
      <c r="D79" s="1625" t="s">
        <v>421</v>
      </c>
      <c r="E79" s="1626"/>
      <c r="F79" s="1623" t="s">
        <v>474</v>
      </c>
      <c r="G79" s="1624"/>
      <c r="H79" s="1623" t="s">
        <v>165</v>
      </c>
      <c r="I79" s="1626"/>
      <c r="J79" s="720"/>
      <c r="M79" s="573"/>
      <c r="N79" s="564"/>
      <c r="O79" s="228"/>
      <c r="P79" s="433"/>
      <c r="Q79" s="433"/>
      <c r="R79" s="433"/>
    </row>
    <row r="80" spans="1:39" s="264" customFormat="1" ht="15.6" customHeight="1">
      <c r="A80" s="1614" t="s">
        <v>451</v>
      </c>
      <c r="B80" s="1602"/>
      <c r="C80" s="1616"/>
      <c r="D80" s="1612"/>
      <c r="E80" s="1613"/>
      <c r="F80" s="1612"/>
      <c r="G80" s="1613"/>
      <c r="H80" s="1612"/>
      <c r="I80" s="1613"/>
      <c r="J80" s="731"/>
      <c r="K80" s="1608">
        <f t="shared" ref="K80:K90" si="6">SUM(D80:I80)</f>
        <v>0</v>
      </c>
      <c r="L80" s="1608"/>
      <c r="M80" s="562"/>
      <c r="N80" s="433"/>
      <c r="O80" s="433"/>
      <c r="P80" s="433"/>
      <c r="Q80" s="433"/>
      <c r="R80" s="433"/>
    </row>
    <row r="81" spans="1:19" s="264" customFormat="1" ht="15.6" customHeight="1">
      <c r="A81" s="1615"/>
      <c r="B81" s="1602"/>
      <c r="C81" s="1616"/>
      <c r="D81" s="1592"/>
      <c r="E81" s="1593"/>
      <c r="F81" s="1612"/>
      <c r="G81" s="1613"/>
      <c r="H81" s="1592"/>
      <c r="I81" s="1593"/>
      <c r="J81" s="732"/>
      <c r="K81" s="1609">
        <f t="shared" si="6"/>
        <v>0</v>
      </c>
      <c r="L81" s="1609"/>
      <c r="M81" s="562"/>
      <c r="N81" s="433"/>
      <c r="O81" s="433"/>
      <c r="P81" s="433"/>
      <c r="Q81" s="433"/>
      <c r="R81" s="433"/>
    </row>
    <row r="82" spans="1:19" s="264" customFormat="1" ht="16.5" thickBot="1">
      <c r="A82" s="1201"/>
      <c r="B82" s="1617" t="s">
        <v>742</v>
      </c>
      <c r="C82" s="1618"/>
      <c r="D82" s="1610">
        <f>SUM(D80:E81)</f>
        <v>0</v>
      </c>
      <c r="E82" s="1610"/>
      <c r="F82" s="1610">
        <f>SUM(F80:G81)</f>
        <v>0</v>
      </c>
      <c r="G82" s="1610"/>
      <c r="H82" s="1610">
        <f>SUM(H80:I81)</f>
        <v>0</v>
      </c>
      <c r="I82" s="1610"/>
      <c r="J82" s="1202"/>
      <c r="K82" s="1610">
        <f t="shared" si="6"/>
        <v>0</v>
      </c>
      <c r="L82" s="1610"/>
      <c r="M82" s="231"/>
      <c r="N82" s="558"/>
      <c r="O82" s="433"/>
      <c r="P82" s="433"/>
      <c r="Q82" s="433"/>
      <c r="R82" s="433"/>
    </row>
    <row r="83" spans="1:19" s="264" customFormat="1" ht="16.5" thickTop="1">
      <c r="A83" s="691" t="s">
        <v>449</v>
      </c>
      <c r="B83" s="1619"/>
      <c r="C83" s="1620"/>
      <c r="D83" s="1606"/>
      <c r="E83" s="1607"/>
      <c r="F83" s="1606"/>
      <c r="G83" s="1607"/>
      <c r="H83" s="1606"/>
      <c r="I83" s="1607"/>
      <c r="J83" s="733"/>
      <c r="K83" s="1611">
        <f t="shared" si="6"/>
        <v>0</v>
      </c>
      <c r="L83" s="1611"/>
      <c r="M83" s="231"/>
      <c r="N83" s="558"/>
      <c r="O83" s="433"/>
      <c r="P83" s="433"/>
      <c r="Q83" s="433"/>
      <c r="R83" s="433"/>
    </row>
    <row r="84" spans="1:19" s="264" customFormat="1">
      <c r="A84" s="1600"/>
      <c r="B84" s="1601"/>
      <c r="C84" s="1601"/>
      <c r="D84" s="1592"/>
      <c r="E84" s="1593"/>
      <c r="F84" s="1592"/>
      <c r="G84" s="1593"/>
      <c r="H84" s="1592"/>
      <c r="I84" s="1593"/>
      <c r="J84" s="732"/>
      <c r="K84" s="1609">
        <f t="shared" si="6"/>
        <v>0</v>
      </c>
      <c r="L84" s="1609"/>
      <c r="M84" s="433"/>
      <c r="N84" s="433"/>
      <c r="O84" s="433"/>
      <c r="P84" s="433"/>
      <c r="Q84" s="433"/>
      <c r="R84" s="433"/>
    </row>
    <row r="85" spans="1:19" s="264" customFormat="1">
      <c r="A85" s="1602"/>
      <c r="B85" s="1603"/>
      <c r="C85" s="1603"/>
      <c r="D85" s="1592"/>
      <c r="E85" s="1593"/>
      <c r="F85" s="1592"/>
      <c r="G85" s="1593"/>
      <c r="H85" s="1592"/>
      <c r="I85" s="1593"/>
      <c r="J85" s="732"/>
      <c r="K85" s="1609">
        <f t="shared" si="6"/>
        <v>0</v>
      </c>
      <c r="L85" s="1609"/>
      <c r="M85" s="562"/>
      <c r="N85" s="564"/>
      <c r="O85" s="433"/>
      <c r="P85" s="433"/>
      <c r="Q85" s="433"/>
      <c r="R85" s="433"/>
    </row>
    <row r="86" spans="1:19" s="264" customFormat="1">
      <c r="A86" s="1602"/>
      <c r="B86" s="1603"/>
      <c r="C86" s="1603"/>
      <c r="D86" s="1592"/>
      <c r="E86" s="1593"/>
      <c r="F86" s="1592"/>
      <c r="G86" s="1593"/>
      <c r="H86" s="1592"/>
      <c r="I86" s="1593"/>
      <c r="J86" s="732"/>
      <c r="K86" s="1609">
        <f t="shared" si="6"/>
        <v>0</v>
      </c>
      <c r="L86" s="1609"/>
      <c r="M86" s="562"/>
      <c r="N86" s="564"/>
      <c r="O86" s="433"/>
      <c r="P86" s="433"/>
      <c r="Q86" s="433"/>
      <c r="R86" s="433"/>
    </row>
    <row r="87" spans="1:19" s="264" customFormat="1">
      <c r="A87" s="1602"/>
      <c r="B87" s="1603"/>
      <c r="C87" s="1603"/>
      <c r="D87" s="1592"/>
      <c r="E87" s="1593"/>
      <c r="F87" s="1592"/>
      <c r="G87" s="1593"/>
      <c r="H87" s="1592"/>
      <c r="I87" s="1593"/>
      <c r="J87" s="732"/>
      <c r="K87" s="1609">
        <f t="shared" si="6"/>
        <v>0</v>
      </c>
      <c r="L87" s="1609"/>
      <c r="M87" s="562"/>
      <c r="N87" s="564"/>
      <c r="O87" s="433"/>
      <c r="P87" s="433"/>
      <c r="Q87" s="433"/>
      <c r="R87" s="433"/>
    </row>
    <row r="88" spans="1:19" s="264" customFormat="1" ht="15.6" customHeight="1">
      <c r="A88" s="1602"/>
      <c r="B88" s="1603"/>
      <c r="C88" s="1603"/>
      <c r="D88" s="1592"/>
      <c r="E88" s="1593"/>
      <c r="F88" s="1592"/>
      <c r="G88" s="1593"/>
      <c r="H88" s="1592"/>
      <c r="I88" s="1593"/>
      <c r="J88" s="732"/>
      <c r="K88" s="1609">
        <f t="shared" si="6"/>
        <v>0</v>
      </c>
      <c r="L88" s="1609"/>
      <c r="M88" s="562"/>
      <c r="N88" s="564"/>
      <c r="O88" s="433"/>
      <c r="P88" s="433"/>
      <c r="Q88" s="433"/>
      <c r="R88" s="433"/>
    </row>
    <row r="89" spans="1:19" s="264" customFormat="1">
      <c r="A89" s="1604"/>
      <c r="B89" s="1605"/>
      <c r="C89" s="1605"/>
      <c r="D89" s="1590"/>
      <c r="E89" s="1591"/>
      <c r="F89" s="1590"/>
      <c r="G89" s="1591"/>
      <c r="H89" s="1590"/>
      <c r="I89" s="1591"/>
      <c r="J89" s="1242"/>
      <c r="K89" s="1627">
        <f t="shared" si="6"/>
        <v>0</v>
      </c>
      <c r="L89" s="1627"/>
      <c r="M89" s="562"/>
      <c r="N89" s="564"/>
      <c r="O89" s="433"/>
      <c r="P89" s="433"/>
      <c r="Q89" s="433"/>
      <c r="R89" s="433"/>
    </row>
    <row r="90" spans="1:19" s="264" customFormat="1" ht="18" customHeight="1">
      <c r="A90" s="1165"/>
      <c r="B90" s="1598" t="s">
        <v>468</v>
      </c>
      <c r="C90" s="1599"/>
      <c r="D90" s="1594">
        <f>SUM(D83:E89)</f>
        <v>0</v>
      </c>
      <c r="E90" s="1595"/>
      <c r="F90" s="1594">
        <f>SUM(F83:G89)</f>
        <v>0</v>
      </c>
      <c r="G90" s="1595"/>
      <c r="H90" s="1594">
        <f>SUM(H83:I89)</f>
        <v>0</v>
      </c>
      <c r="I90" s="1595"/>
      <c r="J90" s="1243"/>
      <c r="K90" s="1596">
        <f t="shared" si="6"/>
        <v>0</v>
      </c>
      <c r="L90" s="1597"/>
      <c r="M90" s="562"/>
      <c r="N90" s="564"/>
      <c r="O90" s="433"/>
      <c r="P90" s="433"/>
      <c r="Q90" s="433"/>
      <c r="R90" s="433"/>
    </row>
    <row r="91" spans="1:19" s="264" customFormat="1">
      <c r="A91" s="552"/>
      <c r="B91" s="13"/>
      <c r="C91" s="1221"/>
      <c r="D91" s="631"/>
      <c r="E91" s="631"/>
      <c r="F91" s="631"/>
      <c r="G91" s="298"/>
      <c r="H91" s="298"/>
      <c r="I91" s="298"/>
      <c r="J91" s="298"/>
      <c r="K91" s="1222"/>
      <c r="L91" s="1223"/>
      <c r="M91" s="563"/>
      <c r="N91" s="564"/>
      <c r="O91" s="228"/>
      <c r="P91" s="228"/>
      <c r="Q91" s="228"/>
      <c r="R91" s="433"/>
    </row>
    <row r="92" spans="1:19" s="264" customFormat="1">
      <c r="A92" s="13"/>
      <c r="B92" s="13"/>
      <c r="C92" s="1221"/>
      <c r="D92" s="631"/>
      <c r="E92" s="631"/>
      <c r="F92" s="631"/>
      <c r="G92" s="298"/>
      <c r="H92" s="298"/>
      <c r="I92" s="298"/>
      <c r="J92" s="298"/>
      <c r="K92" s="1222"/>
      <c r="L92" s="1223"/>
      <c r="M92" s="563"/>
      <c r="N92" s="564"/>
      <c r="O92" s="228"/>
      <c r="P92" s="228"/>
      <c r="Q92" s="228"/>
      <c r="R92" s="433"/>
    </row>
    <row r="93" spans="1:19" s="264" customFormat="1">
      <c r="A93" s="632" t="s">
        <v>619</v>
      </c>
      <c r="C93" s="299"/>
      <c r="D93" s="299"/>
      <c r="E93" s="299"/>
      <c r="F93" s="299"/>
      <c r="K93" s="265"/>
      <c r="L93" s="263"/>
      <c r="M93" s="562"/>
      <c r="O93" s="300"/>
      <c r="P93" s="299"/>
      <c r="Q93" s="299"/>
      <c r="R93" s="299"/>
    </row>
    <row r="94" spans="1:19" s="264" customFormat="1">
      <c r="A94" s="633"/>
      <c r="F94" s="299"/>
      <c r="K94" s="265"/>
      <c r="L94" s="263"/>
      <c r="M94" s="562"/>
      <c r="P94" s="299"/>
      <c r="Q94" s="299"/>
      <c r="R94" s="299"/>
    </row>
    <row r="95" spans="1:19" s="264" customFormat="1">
      <c r="A95" s="633"/>
      <c r="C95" s="1361" t="s">
        <v>608</v>
      </c>
      <c r="D95" s="1368"/>
      <c r="E95" s="1363" t="s">
        <v>607</v>
      </c>
      <c r="F95" s="1369"/>
      <c r="K95" s="265"/>
      <c r="L95" s="263"/>
      <c r="M95" s="562"/>
      <c r="R95" s="299"/>
      <c r="S95" s="13"/>
    </row>
    <row r="96" spans="1:19" s="264" customFormat="1">
      <c r="A96" s="1567" t="s">
        <v>609</v>
      </c>
      <c r="B96" s="1568"/>
      <c r="C96" s="1652" t="s">
        <v>774</v>
      </c>
      <c r="D96" s="1653"/>
      <c r="E96" s="1652" t="s">
        <v>611</v>
      </c>
      <c r="F96" s="1653"/>
      <c r="K96" s="265"/>
      <c r="L96" s="263"/>
      <c r="M96" s="562"/>
      <c r="O96" s="301"/>
      <c r="R96" s="299"/>
      <c r="S96" s="31"/>
    </row>
    <row r="97" spans="1:19" s="264" customFormat="1">
      <c r="A97" s="1471"/>
      <c r="B97" s="1568"/>
      <c r="C97" s="1654"/>
      <c r="D97" s="1568"/>
      <c r="E97" s="1654"/>
      <c r="F97" s="1568"/>
      <c r="K97" s="265"/>
      <c r="L97" s="263"/>
      <c r="M97" s="562"/>
      <c r="Q97" s="299"/>
      <c r="R97" s="299"/>
      <c r="S97" s="31"/>
    </row>
    <row r="98" spans="1:19" s="264" customFormat="1">
      <c r="A98" s="1471"/>
      <c r="B98" s="1568"/>
      <c r="C98" s="1654"/>
      <c r="D98" s="1568"/>
      <c r="E98" s="1654"/>
      <c r="F98" s="1568"/>
      <c r="K98" s="265"/>
      <c r="L98" s="263"/>
      <c r="M98" s="562"/>
      <c r="Q98" s="299"/>
      <c r="R98" s="299"/>
    </row>
    <row r="99" spans="1:19" s="264" customFormat="1">
      <c r="A99" s="1471"/>
      <c r="B99" s="1568"/>
      <c r="C99" s="1655"/>
      <c r="D99" s="1656"/>
      <c r="E99" s="1655"/>
      <c r="F99" s="1656"/>
      <c r="K99" s="265"/>
      <c r="L99" s="263"/>
      <c r="M99" s="562"/>
      <c r="Q99" s="299"/>
      <c r="R99" s="299"/>
    </row>
    <row r="100" spans="1:19" s="264" customFormat="1" ht="46.5" customHeight="1">
      <c r="A100" s="633"/>
      <c r="C100" s="1650" t="s">
        <v>775</v>
      </c>
      <c r="D100" s="1645"/>
      <c r="E100" s="618"/>
      <c r="F100" s="618"/>
      <c r="K100" s="265"/>
      <c r="L100" s="263"/>
      <c r="M100" s="562"/>
      <c r="Q100" s="299"/>
      <c r="R100" s="299"/>
    </row>
    <row r="101" spans="1:19" s="264" customFormat="1" ht="15.6" customHeight="1">
      <c r="A101" s="633"/>
      <c r="C101" s="634"/>
      <c r="D101" s="619"/>
      <c r="E101" s="618"/>
      <c r="F101" s="618"/>
      <c r="K101" s="265"/>
      <c r="L101" s="263"/>
      <c r="M101" s="562"/>
      <c r="Q101" s="299"/>
      <c r="R101" s="299"/>
    </row>
    <row r="102" spans="1:19" s="264" customFormat="1" ht="15.6" customHeight="1">
      <c r="A102" s="633"/>
      <c r="C102" s="1361" t="s">
        <v>608</v>
      </c>
      <c r="D102" s="1368"/>
      <c r="E102" s="1363" t="s">
        <v>607</v>
      </c>
      <c r="F102" s="1369"/>
      <c r="K102" s="265"/>
      <c r="L102" s="263"/>
      <c r="M102" s="562"/>
      <c r="R102" s="299"/>
      <c r="S102" s="7"/>
    </row>
    <row r="103" spans="1:19" s="264" customFormat="1" ht="61.5" customHeight="1">
      <c r="A103" s="1567" t="s">
        <v>610</v>
      </c>
      <c r="B103" s="1568"/>
      <c r="C103" s="1642" t="s">
        <v>773</v>
      </c>
      <c r="D103" s="1651"/>
      <c r="E103" s="1642" t="s">
        <v>740</v>
      </c>
      <c r="F103" s="1645"/>
      <c r="K103" s="265"/>
      <c r="L103" s="263"/>
      <c r="M103" s="562"/>
      <c r="O103" s="301"/>
      <c r="R103" s="299"/>
      <c r="S103" s="7"/>
    </row>
    <row r="104" spans="1:19" s="264" customFormat="1">
      <c r="A104" s="633"/>
      <c r="F104" s="299"/>
      <c r="K104" s="265"/>
      <c r="L104" s="263"/>
      <c r="M104" s="562"/>
      <c r="P104" s="299"/>
      <c r="Q104" s="299"/>
      <c r="R104" s="299"/>
      <c r="S104" s="7"/>
    </row>
    <row r="105" spans="1:19" s="264" customFormat="1">
      <c r="A105" s="632"/>
      <c r="F105" s="299"/>
      <c r="K105" s="265"/>
      <c r="L105" s="263"/>
      <c r="M105" s="562"/>
      <c r="O105" s="300"/>
      <c r="P105" s="299"/>
      <c r="Q105" s="299"/>
      <c r="R105" s="299"/>
      <c r="S105" s="7"/>
    </row>
    <row r="106" spans="1:19" s="264" customFormat="1" ht="110.45" customHeight="1">
      <c r="A106" s="364" t="s">
        <v>620</v>
      </c>
      <c r="C106" s="1642" t="s">
        <v>809</v>
      </c>
      <c r="D106" s="1643"/>
      <c r="E106" s="1643"/>
      <c r="F106" s="1644"/>
      <c r="G106" s="1645"/>
      <c r="K106" s="265"/>
      <c r="L106" s="263"/>
      <c r="M106" s="562"/>
      <c r="O106" s="364"/>
      <c r="S106" s="7"/>
    </row>
    <row r="107" spans="1:19" s="264" customFormat="1">
      <c r="A107" s="633"/>
      <c r="F107" s="299"/>
      <c r="K107" s="265"/>
      <c r="L107" s="263"/>
      <c r="M107" s="562"/>
      <c r="P107" s="299"/>
      <c r="Q107" s="299"/>
      <c r="R107" s="299"/>
    </row>
    <row r="108" spans="1:19" s="264" customFormat="1" ht="128.1" customHeight="1">
      <c r="A108" s="364" t="s">
        <v>677</v>
      </c>
      <c r="C108" s="1646" t="s">
        <v>810</v>
      </c>
      <c r="D108" s="1647"/>
      <c r="E108" s="1647"/>
      <c r="F108" s="1648"/>
      <c r="G108" s="1649"/>
      <c r="K108" s="265"/>
      <c r="L108" s="263"/>
      <c r="M108" s="562"/>
      <c r="O108" s="301"/>
    </row>
    <row r="109" spans="1:19" s="264" customFormat="1">
      <c r="F109" s="299"/>
      <c r="K109" s="265"/>
      <c r="L109" s="263"/>
      <c r="M109" s="562"/>
      <c r="N109" s="268"/>
      <c r="O109" s="433"/>
      <c r="P109" s="433"/>
      <c r="Q109" s="433"/>
      <c r="R109" s="433"/>
    </row>
    <row r="110" spans="1:19" s="264" customFormat="1">
      <c r="C110" s="299"/>
      <c r="D110" s="299"/>
      <c r="E110" s="299"/>
      <c r="F110" s="299"/>
      <c r="K110" s="265"/>
      <c r="L110" s="263"/>
      <c r="M110" s="562"/>
      <c r="N110" s="268"/>
      <c r="O110" s="433"/>
      <c r="P110" s="433"/>
      <c r="Q110" s="433"/>
      <c r="R110" s="433"/>
    </row>
    <row r="111" spans="1:19" s="264" customFormat="1" hidden="1">
      <c r="C111" s="299"/>
      <c r="D111" s="299"/>
      <c r="E111" s="299"/>
      <c r="F111" s="299"/>
      <c r="K111" s="265"/>
      <c r="L111" s="263"/>
      <c r="M111" s="562"/>
      <c r="N111" s="268"/>
      <c r="O111" s="433"/>
      <c r="P111" s="433"/>
      <c r="Q111" s="433"/>
      <c r="R111" s="433"/>
    </row>
    <row r="112" spans="1:19" s="264" customFormat="1" hidden="1">
      <c r="C112" s="299"/>
      <c r="D112" s="299"/>
      <c r="E112" s="299"/>
      <c r="F112" s="299"/>
      <c r="K112" s="265"/>
      <c r="L112" s="263"/>
      <c r="M112" s="562"/>
      <c r="N112" s="268"/>
      <c r="O112" s="433"/>
      <c r="P112" s="433"/>
      <c r="Q112" s="433"/>
      <c r="R112" s="433"/>
    </row>
    <row r="113" spans="2:18" s="264" customFormat="1" hidden="1">
      <c r="C113" s="299"/>
      <c r="D113" s="299"/>
      <c r="E113" s="299"/>
      <c r="F113" s="299"/>
      <c r="K113" s="265"/>
      <c r="L113" s="263"/>
      <c r="M113" s="562"/>
      <c r="N113" s="268"/>
      <c r="O113" s="433"/>
      <c r="P113" s="433"/>
      <c r="Q113" s="433"/>
      <c r="R113" s="433"/>
    </row>
    <row r="114" spans="2:18" s="264" customFormat="1">
      <c r="C114" s="299"/>
      <c r="D114" s="299"/>
      <c r="E114" s="299"/>
      <c r="F114" s="299"/>
      <c r="K114" s="265"/>
      <c r="L114" s="263"/>
      <c r="M114" s="562"/>
      <c r="N114" s="268"/>
      <c r="O114" s="433"/>
      <c r="P114" s="433"/>
      <c r="Q114" s="433"/>
      <c r="R114" s="433"/>
    </row>
    <row r="115" spans="2:18" s="264" customFormat="1">
      <c r="C115" s="299"/>
      <c r="D115" s="299"/>
      <c r="E115" s="299"/>
      <c r="F115" s="299"/>
      <c r="K115" s="265"/>
      <c r="L115" s="263"/>
      <c r="M115" s="562"/>
      <c r="N115" s="268"/>
      <c r="O115" s="433"/>
      <c r="P115" s="433"/>
      <c r="Q115" s="433"/>
      <c r="R115" s="433"/>
    </row>
    <row r="116" spans="2:18" s="264" customFormat="1">
      <c r="B116" s="302"/>
      <c r="C116" s="299"/>
      <c r="D116" s="299"/>
      <c r="E116" s="299"/>
      <c r="F116" s="299"/>
      <c r="K116" s="265"/>
      <c r="L116" s="263"/>
      <c r="M116" s="562"/>
      <c r="N116" s="268"/>
      <c r="O116" s="433"/>
      <c r="P116" s="433"/>
      <c r="Q116" s="433"/>
      <c r="R116" s="433"/>
    </row>
    <row r="117" spans="2:18" s="264" customFormat="1">
      <c r="C117" s="299"/>
      <c r="D117" s="299"/>
      <c r="E117" s="299"/>
      <c r="F117" s="299"/>
      <c r="K117" s="265"/>
      <c r="L117" s="263"/>
      <c r="M117" s="562"/>
      <c r="N117" s="268"/>
      <c r="O117" s="433"/>
      <c r="P117" s="433"/>
      <c r="Q117" s="433"/>
      <c r="R117" s="433"/>
    </row>
    <row r="118" spans="2:18" s="264" customFormat="1">
      <c r="C118" s="299"/>
      <c r="D118" s="299"/>
      <c r="E118" s="299"/>
      <c r="F118" s="299"/>
      <c r="K118" s="265"/>
      <c r="L118" s="263"/>
      <c r="M118" s="562"/>
      <c r="N118" s="268"/>
      <c r="O118" s="433"/>
      <c r="P118" s="433"/>
      <c r="Q118" s="433"/>
      <c r="R118" s="433"/>
    </row>
    <row r="119" spans="2:18" s="264" customFormat="1">
      <c r="C119" s="299"/>
      <c r="D119" s="299"/>
      <c r="E119" s="299"/>
      <c r="F119" s="299"/>
      <c r="K119" s="265"/>
      <c r="L119" s="263"/>
      <c r="M119" s="562"/>
      <c r="N119" s="268"/>
      <c r="O119" s="433"/>
      <c r="P119" s="433"/>
      <c r="Q119" s="433"/>
      <c r="R119" s="433"/>
    </row>
    <row r="120" spans="2:18" s="264" customFormat="1">
      <c r="M120" s="562"/>
      <c r="N120" s="268"/>
      <c r="O120" s="433"/>
      <c r="P120" s="433"/>
      <c r="Q120" s="433"/>
      <c r="R120" s="433"/>
    </row>
    <row r="121" spans="2:18" s="264" customFormat="1">
      <c r="M121" s="562"/>
      <c r="N121" s="268"/>
      <c r="O121" s="433"/>
      <c r="P121" s="433"/>
      <c r="Q121" s="433"/>
      <c r="R121" s="433"/>
    </row>
    <row r="122" spans="2:18" s="264" customFormat="1">
      <c r="M122" s="562"/>
      <c r="N122" s="268"/>
      <c r="O122" s="433"/>
      <c r="P122" s="433"/>
      <c r="Q122" s="433"/>
      <c r="R122" s="433"/>
    </row>
    <row r="123" spans="2:18" s="264" customFormat="1">
      <c r="M123" s="562"/>
      <c r="N123" s="268"/>
      <c r="O123" s="433"/>
      <c r="P123" s="433"/>
      <c r="Q123" s="433"/>
      <c r="R123" s="433"/>
    </row>
    <row r="124" spans="2:18" s="264" customFormat="1">
      <c r="M124" s="562"/>
      <c r="N124" s="268"/>
      <c r="O124" s="433"/>
      <c r="P124" s="433"/>
      <c r="Q124" s="433"/>
      <c r="R124" s="433"/>
    </row>
    <row r="125" spans="2:18" s="264" customFormat="1">
      <c r="M125" s="562"/>
      <c r="N125" s="268"/>
      <c r="O125" s="433"/>
      <c r="P125" s="433"/>
      <c r="Q125" s="433"/>
      <c r="R125" s="433"/>
    </row>
    <row r="126" spans="2:18" s="264" customFormat="1">
      <c r="M126" s="562"/>
      <c r="N126" s="268"/>
      <c r="O126" s="433"/>
      <c r="P126" s="433"/>
      <c r="Q126" s="433"/>
      <c r="R126" s="433"/>
    </row>
    <row r="127" spans="2:18" s="264" customFormat="1">
      <c r="M127" s="562"/>
      <c r="N127" s="268"/>
      <c r="O127" s="433"/>
      <c r="P127" s="433"/>
      <c r="Q127" s="433"/>
      <c r="R127" s="433"/>
    </row>
    <row r="128" spans="2:18" s="264" customFormat="1">
      <c r="M128" s="562"/>
      <c r="N128" s="268"/>
      <c r="O128" s="433"/>
      <c r="P128" s="433"/>
      <c r="Q128" s="433"/>
      <c r="R128" s="433"/>
    </row>
    <row r="129" spans="13:18" s="264" customFormat="1">
      <c r="M129" s="562"/>
      <c r="N129" s="268"/>
      <c r="O129" s="433"/>
      <c r="P129" s="433"/>
      <c r="Q129" s="433"/>
      <c r="R129" s="433"/>
    </row>
    <row r="130" spans="13:18" s="264" customFormat="1">
      <c r="M130" s="562"/>
      <c r="N130" s="268"/>
      <c r="O130" s="433"/>
      <c r="P130" s="433"/>
      <c r="Q130" s="433"/>
      <c r="R130" s="433"/>
    </row>
    <row r="131" spans="13:18" s="264" customFormat="1">
      <c r="M131" s="562"/>
      <c r="N131" s="268"/>
      <c r="O131" s="433"/>
      <c r="P131" s="433"/>
      <c r="Q131" s="433"/>
      <c r="R131" s="433"/>
    </row>
    <row r="132" spans="13:18" s="264" customFormat="1">
      <c r="M132" s="562"/>
      <c r="N132" s="268"/>
      <c r="O132" s="433"/>
      <c r="P132" s="433"/>
      <c r="Q132" s="433"/>
      <c r="R132" s="433"/>
    </row>
    <row r="133" spans="13:18" s="264" customFormat="1">
      <c r="M133" s="562"/>
      <c r="N133" s="268"/>
      <c r="O133" s="433"/>
      <c r="P133" s="433"/>
      <c r="Q133" s="433"/>
      <c r="R133" s="433"/>
    </row>
    <row r="134" spans="13:18" s="264" customFormat="1">
      <c r="M134" s="562"/>
      <c r="N134" s="268"/>
      <c r="O134" s="433"/>
      <c r="P134" s="433"/>
      <c r="Q134" s="433"/>
      <c r="R134" s="433"/>
    </row>
    <row r="135" spans="13:18" s="264" customFormat="1">
      <c r="M135" s="562"/>
      <c r="N135" s="268"/>
      <c r="O135" s="433"/>
      <c r="P135" s="433"/>
      <c r="Q135" s="433"/>
      <c r="R135" s="433"/>
    </row>
    <row r="136" spans="13:18" s="264" customFormat="1">
      <c r="M136" s="562"/>
      <c r="N136" s="268"/>
      <c r="O136" s="433"/>
      <c r="P136" s="433"/>
      <c r="Q136" s="433"/>
      <c r="R136" s="433"/>
    </row>
    <row r="137" spans="13:18" s="264" customFormat="1">
      <c r="M137" s="562"/>
      <c r="N137" s="268"/>
      <c r="O137" s="433"/>
      <c r="P137" s="433"/>
      <c r="Q137" s="433"/>
      <c r="R137" s="433"/>
    </row>
    <row r="138" spans="13:18" s="264" customFormat="1">
      <c r="M138" s="562"/>
      <c r="N138" s="268"/>
      <c r="O138" s="433"/>
      <c r="P138" s="433"/>
      <c r="Q138" s="433"/>
      <c r="R138" s="433"/>
    </row>
    <row r="139" spans="13:18" s="264" customFormat="1">
      <c r="M139" s="562"/>
      <c r="N139" s="268"/>
      <c r="O139" s="433"/>
      <c r="P139" s="433"/>
      <c r="Q139" s="433"/>
      <c r="R139" s="433"/>
    </row>
    <row r="140" spans="13:18" s="264" customFormat="1">
      <c r="M140" s="562"/>
      <c r="N140" s="268"/>
      <c r="O140" s="433"/>
      <c r="P140" s="433"/>
      <c r="Q140" s="433"/>
      <c r="R140" s="433"/>
    </row>
    <row r="141" spans="13:18" s="264" customFormat="1">
      <c r="M141" s="562"/>
      <c r="N141" s="268"/>
      <c r="O141" s="433"/>
      <c r="P141" s="433"/>
      <c r="Q141" s="433"/>
      <c r="R141" s="433"/>
    </row>
    <row r="142" spans="13:18" s="264" customFormat="1">
      <c r="M142" s="562"/>
      <c r="N142" s="268"/>
      <c r="O142" s="433"/>
      <c r="P142" s="433"/>
      <c r="Q142" s="433"/>
      <c r="R142" s="433"/>
    </row>
    <row r="143" spans="13:18" s="264" customFormat="1">
      <c r="M143" s="562"/>
      <c r="N143" s="268"/>
      <c r="O143" s="433"/>
      <c r="P143" s="433"/>
      <c r="Q143" s="433"/>
      <c r="R143" s="433"/>
    </row>
    <row r="144" spans="13:18" s="264" customFormat="1">
      <c r="M144" s="562"/>
      <c r="N144" s="268"/>
      <c r="O144" s="433"/>
      <c r="P144" s="433"/>
      <c r="Q144" s="433"/>
      <c r="R144" s="433"/>
    </row>
    <row r="145" spans="3:18" s="264" customFormat="1">
      <c r="C145" s="299"/>
      <c r="D145" s="299"/>
      <c r="E145" s="299"/>
      <c r="F145" s="299"/>
      <c r="K145" s="265"/>
      <c r="L145" s="263"/>
      <c r="M145" s="562"/>
      <c r="N145" s="268"/>
      <c r="O145" s="433"/>
      <c r="P145" s="433"/>
      <c r="Q145" s="433"/>
      <c r="R145" s="433"/>
    </row>
    <row r="146" spans="3:18" s="264" customFormat="1">
      <c r="C146" s="299"/>
      <c r="D146" s="299"/>
      <c r="E146" s="299"/>
      <c r="F146" s="299"/>
      <c r="K146" s="265"/>
      <c r="L146" s="263"/>
      <c r="M146" s="562"/>
      <c r="N146" s="268"/>
      <c r="O146" s="433"/>
      <c r="P146" s="433"/>
      <c r="Q146" s="433"/>
      <c r="R146" s="433"/>
    </row>
    <row r="147" spans="3:18" s="264" customFormat="1">
      <c r="C147" s="299"/>
      <c r="D147" s="299"/>
      <c r="E147" s="299"/>
      <c r="F147" s="299"/>
      <c r="K147" s="265"/>
      <c r="L147" s="263"/>
      <c r="M147" s="562"/>
      <c r="N147" s="268"/>
      <c r="O147" s="433"/>
      <c r="P147" s="433"/>
      <c r="Q147" s="433"/>
      <c r="R147" s="433"/>
    </row>
    <row r="148" spans="3:18" s="264" customFormat="1">
      <c r="C148" s="299"/>
      <c r="D148" s="299"/>
      <c r="E148" s="299"/>
      <c r="F148" s="299"/>
      <c r="K148" s="265"/>
      <c r="L148" s="263"/>
      <c r="M148" s="562"/>
      <c r="N148" s="268"/>
      <c r="O148" s="433"/>
      <c r="P148" s="433"/>
      <c r="Q148" s="433"/>
      <c r="R148" s="433"/>
    </row>
    <row r="149" spans="3:18" s="264" customFormat="1">
      <c r="C149" s="299"/>
      <c r="D149" s="299"/>
      <c r="E149" s="299"/>
      <c r="F149" s="299"/>
      <c r="K149" s="265"/>
      <c r="L149" s="263"/>
      <c r="M149" s="562"/>
      <c r="N149" s="268"/>
      <c r="O149" s="433"/>
      <c r="P149" s="433"/>
      <c r="Q149" s="433"/>
      <c r="R149" s="433"/>
    </row>
    <row r="150" spans="3:18" s="264" customFormat="1">
      <c r="C150" s="299"/>
      <c r="D150" s="299"/>
      <c r="E150" s="299"/>
      <c r="F150" s="299"/>
      <c r="K150" s="265"/>
      <c r="L150" s="263"/>
      <c r="M150" s="562"/>
      <c r="N150" s="268"/>
      <c r="O150" s="433"/>
      <c r="P150" s="433"/>
      <c r="Q150" s="433"/>
      <c r="R150" s="433"/>
    </row>
    <row r="151" spans="3:18" s="264" customFormat="1">
      <c r="C151" s="299"/>
      <c r="D151" s="299"/>
      <c r="E151" s="299"/>
      <c r="F151" s="299"/>
      <c r="K151" s="265"/>
      <c r="L151" s="263"/>
      <c r="M151" s="562"/>
      <c r="N151" s="268"/>
      <c r="O151" s="433"/>
      <c r="P151" s="433"/>
      <c r="Q151" s="433"/>
      <c r="R151" s="433"/>
    </row>
    <row r="152" spans="3:18" s="264" customFormat="1">
      <c r="C152" s="299"/>
      <c r="D152" s="299"/>
      <c r="E152" s="299"/>
      <c r="F152" s="299"/>
      <c r="K152" s="265"/>
      <c r="L152" s="263"/>
      <c r="M152" s="562"/>
      <c r="N152" s="268"/>
      <c r="O152" s="433"/>
      <c r="P152" s="433"/>
      <c r="Q152" s="433"/>
      <c r="R152" s="433"/>
    </row>
    <row r="153" spans="3:18" s="264" customFormat="1">
      <c r="C153" s="299"/>
      <c r="D153" s="299"/>
      <c r="E153" s="299"/>
      <c r="F153" s="299"/>
      <c r="K153" s="265"/>
      <c r="L153" s="263"/>
      <c r="M153" s="562"/>
      <c r="N153" s="268"/>
      <c r="O153" s="433"/>
      <c r="P153" s="433"/>
      <c r="Q153" s="433"/>
      <c r="R153" s="433"/>
    </row>
    <row r="154" spans="3:18" s="264" customFormat="1">
      <c r="C154" s="299"/>
      <c r="D154" s="299"/>
      <c r="E154" s="299"/>
      <c r="F154" s="299"/>
      <c r="K154" s="265"/>
      <c r="L154" s="263"/>
      <c r="M154" s="562"/>
      <c r="N154" s="268"/>
      <c r="O154" s="433"/>
      <c r="P154" s="433"/>
      <c r="Q154" s="433"/>
      <c r="R154" s="433"/>
    </row>
    <row r="155" spans="3:18" s="264" customFormat="1">
      <c r="C155" s="299"/>
      <c r="D155" s="299"/>
      <c r="E155" s="299"/>
      <c r="F155" s="299"/>
      <c r="K155" s="265"/>
      <c r="L155" s="263"/>
      <c r="M155" s="562"/>
      <c r="N155" s="268"/>
      <c r="O155" s="433"/>
      <c r="P155" s="433"/>
      <c r="Q155" s="433"/>
      <c r="R155" s="433"/>
    </row>
    <row r="156" spans="3:18" s="264" customFormat="1">
      <c r="C156" s="299"/>
      <c r="D156" s="299"/>
      <c r="E156" s="299"/>
      <c r="F156" s="299"/>
      <c r="K156" s="265"/>
      <c r="L156" s="263"/>
      <c r="M156" s="562"/>
      <c r="N156" s="268"/>
      <c r="O156" s="433"/>
      <c r="P156" s="433"/>
      <c r="Q156" s="433"/>
      <c r="R156" s="433"/>
    </row>
    <row r="157" spans="3:18" s="264" customFormat="1">
      <c r="C157" s="299"/>
      <c r="D157" s="299"/>
      <c r="E157" s="299"/>
      <c r="F157" s="299"/>
      <c r="K157" s="265"/>
      <c r="L157" s="263"/>
      <c r="M157" s="562"/>
      <c r="N157" s="268"/>
      <c r="O157" s="433"/>
      <c r="P157" s="433"/>
      <c r="Q157" s="433"/>
      <c r="R157" s="433"/>
    </row>
    <row r="158" spans="3:18" s="264" customFormat="1">
      <c r="C158" s="299"/>
      <c r="D158" s="299"/>
      <c r="E158" s="299"/>
      <c r="F158" s="299"/>
      <c r="K158" s="265"/>
      <c r="L158" s="263"/>
      <c r="M158" s="562"/>
      <c r="N158" s="268"/>
      <c r="O158" s="433"/>
      <c r="P158" s="433"/>
      <c r="Q158" s="433"/>
      <c r="R158" s="433"/>
    </row>
    <row r="159" spans="3:18" s="264" customFormat="1">
      <c r="C159" s="299"/>
      <c r="D159" s="299"/>
      <c r="E159" s="299"/>
      <c r="F159" s="299"/>
      <c r="K159" s="265"/>
      <c r="L159" s="263"/>
      <c r="M159" s="562"/>
      <c r="N159" s="268"/>
      <c r="O159" s="433"/>
      <c r="P159" s="433"/>
      <c r="Q159" s="433"/>
      <c r="R159" s="433"/>
    </row>
    <row r="160" spans="3:18" s="264" customFormat="1">
      <c r="C160" s="299"/>
      <c r="D160" s="299"/>
      <c r="E160" s="299"/>
      <c r="F160" s="299"/>
      <c r="K160" s="265"/>
      <c r="L160" s="263"/>
      <c r="M160" s="562"/>
      <c r="N160" s="268"/>
      <c r="O160" s="433"/>
      <c r="P160" s="433"/>
      <c r="Q160" s="433"/>
      <c r="R160" s="433"/>
    </row>
    <row r="161" spans="3:18" s="264" customFormat="1">
      <c r="C161" s="299"/>
      <c r="D161" s="299"/>
      <c r="E161" s="299"/>
      <c r="F161" s="299"/>
      <c r="K161" s="265"/>
      <c r="L161" s="263"/>
      <c r="M161" s="562"/>
      <c r="N161" s="268"/>
      <c r="O161" s="433"/>
      <c r="P161" s="433"/>
      <c r="Q161" s="433"/>
      <c r="R161" s="433"/>
    </row>
    <row r="162" spans="3:18" s="264" customFormat="1">
      <c r="C162" s="299"/>
      <c r="D162" s="299"/>
      <c r="E162" s="299"/>
      <c r="F162" s="299"/>
      <c r="K162" s="265"/>
      <c r="L162" s="263"/>
      <c r="M162" s="562"/>
      <c r="N162" s="268"/>
      <c r="O162" s="433"/>
      <c r="P162" s="433"/>
      <c r="Q162" s="433"/>
      <c r="R162" s="433"/>
    </row>
    <row r="163" spans="3:18" s="264" customFormat="1">
      <c r="C163" s="299"/>
      <c r="D163" s="299"/>
      <c r="E163" s="299"/>
      <c r="F163" s="299"/>
      <c r="K163" s="265"/>
      <c r="L163" s="263"/>
      <c r="M163" s="562"/>
      <c r="N163" s="268"/>
      <c r="O163" s="433"/>
      <c r="P163" s="433"/>
      <c r="Q163" s="433"/>
      <c r="R163" s="433"/>
    </row>
    <row r="164" spans="3:18" s="264" customFormat="1">
      <c r="C164" s="299"/>
      <c r="D164" s="299"/>
      <c r="E164" s="299"/>
      <c r="F164" s="299"/>
      <c r="K164" s="265"/>
      <c r="L164" s="263"/>
      <c r="M164" s="562"/>
      <c r="N164" s="268"/>
      <c r="O164" s="433"/>
      <c r="P164" s="433"/>
      <c r="Q164" s="433"/>
      <c r="R164" s="433"/>
    </row>
    <row r="165" spans="3:18" s="264" customFormat="1">
      <c r="C165" s="299"/>
      <c r="D165" s="299"/>
      <c r="E165" s="299"/>
      <c r="F165" s="299"/>
      <c r="K165" s="265"/>
      <c r="L165" s="263"/>
      <c r="M165" s="562"/>
      <c r="N165" s="268"/>
      <c r="O165" s="433"/>
      <c r="P165" s="433"/>
      <c r="Q165" s="433"/>
      <c r="R165" s="433"/>
    </row>
    <row r="166" spans="3:18" s="264" customFormat="1">
      <c r="C166" s="299"/>
      <c r="D166" s="299"/>
      <c r="E166" s="299"/>
      <c r="F166" s="299"/>
      <c r="K166" s="265"/>
      <c r="L166" s="263"/>
      <c r="M166" s="562"/>
      <c r="N166" s="268"/>
      <c r="O166" s="433"/>
      <c r="P166" s="433"/>
      <c r="Q166" s="433"/>
      <c r="R166" s="433"/>
    </row>
    <row r="167" spans="3:18" s="264" customFormat="1">
      <c r="C167" s="299"/>
      <c r="D167" s="299"/>
      <c r="E167" s="299"/>
      <c r="F167" s="299"/>
      <c r="K167" s="265"/>
      <c r="L167" s="263"/>
      <c r="M167" s="562"/>
      <c r="N167" s="268"/>
      <c r="O167" s="433"/>
      <c r="P167" s="433"/>
      <c r="Q167" s="433"/>
      <c r="R167" s="433"/>
    </row>
    <row r="168" spans="3:18" s="264" customFormat="1">
      <c r="C168" s="299"/>
      <c r="D168" s="299"/>
      <c r="E168" s="299"/>
      <c r="F168" s="299"/>
      <c r="K168" s="265"/>
      <c r="L168" s="263"/>
      <c r="M168" s="562"/>
      <c r="N168" s="268"/>
      <c r="O168" s="433"/>
      <c r="P168" s="433"/>
      <c r="Q168" s="433"/>
      <c r="R168" s="433"/>
    </row>
    <row r="169" spans="3:18" s="264" customFormat="1">
      <c r="C169" s="299"/>
      <c r="D169" s="299"/>
      <c r="E169" s="299"/>
      <c r="F169" s="299"/>
      <c r="K169" s="265"/>
      <c r="L169" s="263"/>
      <c r="M169" s="562"/>
      <c r="N169" s="268"/>
      <c r="O169" s="433"/>
      <c r="P169" s="433"/>
      <c r="Q169" s="433"/>
      <c r="R169" s="433"/>
    </row>
    <row r="170" spans="3:18" s="264" customFormat="1">
      <c r="C170" s="299"/>
      <c r="D170" s="299"/>
      <c r="E170" s="299"/>
      <c r="F170" s="299"/>
      <c r="K170" s="265"/>
      <c r="L170" s="263"/>
      <c r="M170" s="562"/>
      <c r="N170" s="268"/>
      <c r="O170" s="433"/>
      <c r="P170" s="433"/>
      <c r="Q170" s="433"/>
      <c r="R170" s="433"/>
    </row>
    <row r="171" spans="3:18" s="264" customFormat="1">
      <c r="C171" s="299"/>
      <c r="D171" s="299"/>
      <c r="E171" s="299"/>
      <c r="F171" s="299"/>
      <c r="K171" s="265"/>
      <c r="L171" s="263"/>
      <c r="M171" s="562"/>
      <c r="N171" s="268"/>
      <c r="O171" s="433"/>
      <c r="P171" s="433"/>
      <c r="Q171" s="433"/>
      <c r="R171" s="433"/>
    </row>
    <row r="172" spans="3:18" s="264" customFormat="1">
      <c r="C172" s="299"/>
      <c r="D172" s="299"/>
      <c r="E172" s="299"/>
      <c r="F172" s="299"/>
      <c r="K172" s="265"/>
      <c r="L172" s="263"/>
      <c r="M172" s="562"/>
      <c r="N172" s="268"/>
      <c r="O172" s="433"/>
      <c r="P172" s="433"/>
      <c r="Q172" s="433"/>
      <c r="R172" s="433"/>
    </row>
    <row r="173" spans="3:18" s="264" customFormat="1">
      <c r="C173" s="299"/>
      <c r="D173" s="299"/>
      <c r="E173" s="299"/>
      <c r="F173" s="299"/>
      <c r="K173" s="265"/>
      <c r="L173" s="263"/>
      <c r="M173" s="562"/>
      <c r="N173" s="268"/>
      <c r="O173" s="433"/>
      <c r="P173" s="433"/>
      <c r="Q173" s="433"/>
      <c r="R173" s="433"/>
    </row>
    <row r="174" spans="3:18" s="264" customFormat="1">
      <c r="C174" s="299"/>
      <c r="D174" s="299"/>
      <c r="E174" s="299"/>
      <c r="F174" s="299"/>
      <c r="K174" s="265"/>
      <c r="L174" s="263"/>
      <c r="M174" s="562"/>
      <c r="N174" s="268"/>
      <c r="O174" s="433"/>
      <c r="P174" s="433"/>
      <c r="Q174" s="433"/>
      <c r="R174" s="433"/>
    </row>
    <row r="175" spans="3:18" s="264" customFormat="1">
      <c r="C175" s="299"/>
      <c r="D175" s="299"/>
      <c r="E175" s="299"/>
      <c r="F175" s="299"/>
      <c r="K175" s="265"/>
      <c r="L175" s="263"/>
      <c r="M175" s="562"/>
      <c r="N175" s="268"/>
      <c r="O175" s="433"/>
      <c r="P175" s="433"/>
      <c r="Q175" s="433"/>
      <c r="R175" s="433"/>
    </row>
    <row r="176" spans="3:18" s="264" customFormat="1">
      <c r="C176" s="299"/>
      <c r="D176" s="299"/>
      <c r="E176" s="299"/>
      <c r="F176" s="299"/>
      <c r="K176" s="265"/>
      <c r="L176" s="263"/>
      <c r="M176" s="562"/>
      <c r="N176" s="268"/>
      <c r="O176" s="433"/>
      <c r="P176" s="433"/>
      <c r="Q176" s="433"/>
      <c r="R176" s="433"/>
    </row>
    <row r="177" spans="3:18" s="264" customFormat="1">
      <c r="C177" s="299"/>
      <c r="D177" s="299"/>
      <c r="E177" s="299"/>
      <c r="F177" s="299"/>
      <c r="K177" s="265"/>
      <c r="L177" s="263"/>
      <c r="M177" s="562"/>
      <c r="N177" s="268"/>
      <c r="O177" s="433"/>
      <c r="P177" s="433"/>
      <c r="Q177" s="433"/>
      <c r="R177" s="433"/>
    </row>
    <row r="178" spans="3:18" s="264" customFormat="1">
      <c r="C178" s="299"/>
      <c r="D178" s="299"/>
      <c r="E178" s="299"/>
      <c r="F178" s="299"/>
      <c r="K178" s="265"/>
      <c r="L178" s="263"/>
      <c r="M178" s="562"/>
      <c r="N178" s="268"/>
      <c r="O178" s="433"/>
      <c r="P178" s="433"/>
      <c r="Q178" s="433"/>
      <c r="R178" s="433"/>
    </row>
    <row r="179" spans="3:18" s="264" customFormat="1">
      <c r="C179" s="299"/>
      <c r="D179" s="299"/>
      <c r="E179" s="299"/>
      <c r="F179" s="299"/>
      <c r="K179" s="265"/>
      <c r="L179" s="263"/>
      <c r="M179" s="562"/>
      <c r="N179" s="268"/>
      <c r="O179" s="433"/>
      <c r="P179" s="433"/>
      <c r="Q179" s="433"/>
      <c r="R179" s="433"/>
    </row>
    <row r="180" spans="3:18" s="264" customFormat="1">
      <c r="C180" s="299"/>
      <c r="D180" s="299"/>
      <c r="E180" s="299"/>
      <c r="F180" s="299"/>
      <c r="K180" s="265"/>
      <c r="L180" s="263"/>
      <c r="M180" s="562"/>
      <c r="N180" s="268"/>
      <c r="O180" s="433"/>
      <c r="P180" s="433"/>
      <c r="Q180" s="433"/>
      <c r="R180" s="433"/>
    </row>
    <row r="181" spans="3:18" s="264" customFormat="1">
      <c r="C181" s="299"/>
      <c r="D181" s="299"/>
      <c r="E181" s="299"/>
      <c r="F181" s="299"/>
      <c r="K181" s="265"/>
      <c r="L181" s="263"/>
      <c r="M181" s="562"/>
      <c r="N181" s="268"/>
      <c r="O181" s="433"/>
      <c r="P181" s="433"/>
      <c r="Q181" s="433"/>
      <c r="R181" s="433"/>
    </row>
    <row r="182" spans="3:18" s="264" customFormat="1">
      <c r="C182" s="299"/>
      <c r="D182" s="299"/>
      <c r="E182" s="299"/>
      <c r="F182" s="299"/>
      <c r="K182" s="265"/>
      <c r="L182" s="263"/>
      <c r="M182" s="562"/>
      <c r="N182" s="268"/>
      <c r="O182" s="433"/>
      <c r="P182" s="433"/>
      <c r="Q182" s="433"/>
      <c r="R182" s="433"/>
    </row>
    <row r="183" spans="3:18" s="264" customFormat="1">
      <c r="C183" s="299"/>
      <c r="D183" s="299"/>
      <c r="E183" s="299"/>
      <c r="F183" s="299"/>
      <c r="K183" s="265"/>
      <c r="L183" s="263"/>
      <c r="M183" s="562"/>
      <c r="N183" s="268"/>
      <c r="O183" s="433"/>
      <c r="P183" s="433"/>
      <c r="Q183" s="433"/>
      <c r="R183" s="433"/>
    </row>
    <row r="184" spans="3:18" s="264" customFormat="1">
      <c r="C184" s="299"/>
      <c r="D184" s="299"/>
      <c r="E184" s="299"/>
      <c r="F184" s="299"/>
      <c r="K184" s="265"/>
      <c r="L184" s="263"/>
      <c r="M184" s="562"/>
      <c r="N184" s="268"/>
      <c r="O184" s="433"/>
      <c r="P184" s="433"/>
      <c r="Q184" s="433"/>
      <c r="R184" s="433"/>
    </row>
    <row r="185" spans="3:18" s="264" customFormat="1">
      <c r="C185" s="299"/>
      <c r="D185" s="299"/>
      <c r="E185" s="299"/>
      <c r="F185" s="299"/>
      <c r="K185" s="265"/>
      <c r="L185" s="263"/>
      <c r="M185" s="562"/>
      <c r="N185" s="268"/>
      <c r="O185" s="433"/>
      <c r="P185" s="433"/>
      <c r="Q185" s="433"/>
      <c r="R185" s="433"/>
    </row>
    <row r="186" spans="3:18" s="264" customFormat="1">
      <c r="C186" s="299"/>
      <c r="D186" s="299"/>
      <c r="E186" s="299"/>
      <c r="F186" s="299"/>
      <c r="K186" s="265"/>
      <c r="L186" s="263"/>
      <c r="M186" s="562"/>
      <c r="N186" s="268"/>
      <c r="O186" s="433"/>
      <c r="P186" s="433"/>
      <c r="Q186" s="433"/>
      <c r="R186" s="433"/>
    </row>
    <row r="187" spans="3:18" s="264" customFormat="1">
      <c r="C187" s="299"/>
      <c r="D187" s="299"/>
      <c r="E187" s="299"/>
      <c r="F187" s="299"/>
      <c r="K187" s="265"/>
      <c r="L187" s="263"/>
      <c r="M187" s="562"/>
      <c r="N187" s="268"/>
      <c r="O187" s="433"/>
      <c r="P187" s="433"/>
      <c r="Q187" s="433"/>
      <c r="R187" s="433"/>
    </row>
    <row r="188" spans="3:18" s="264" customFormat="1">
      <c r="C188" s="299"/>
      <c r="D188" s="299"/>
      <c r="E188" s="299"/>
      <c r="F188" s="299"/>
      <c r="K188" s="265"/>
      <c r="L188" s="263"/>
      <c r="M188" s="562"/>
      <c r="N188" s="268"/>
      <c r="O188" s="433"/>
      <c r="P188" s="433"/>
      <c r="Q188" s="433"/>
      <c r="R188" s="433"/>
    </row>
    <row r="189" spans="3:18" s="264" customFormat="1">
      <c r="C189" s="299"/>
      <c r="D189" s="299"/>
      <c r="E189" s="299"/>
      <c r="F189" s="299"/>
      <c r="K189" s="265"/>
      <c r="L189" s="263"/>
      <c r="M189" s="562"/>
      <c r="N189" s="268"/>
      <c r="O189" s="433"/>
      <c r="P189" s="433"/>
      <c r="Q189" s="433"/>
      <c r="R189" s="433"/>
    </row>
    <row r="190" spans="3:18" s="264" customFormat="1">
      <c r="C190" s="299"/>
      <c r="D190" s="299"/>
      <c r="E190" s="299"/>
      <c r="F190" s="299"/>
      <c r="K190" s="265"/>
      <c r="L190" s="263"/>
      <c r="M190" s="562"/>
      <c r="N190" s="268"/>
      <c r="O190" s="433"/>
      <c r="P190" s="433"/>
      <c r="Q190" s="433"/>
      <c r="R190" s="433"/>
    </row>
    <row r="191" spans="3:18" s="264" customFormat="1">
      <c r="C191" s="299"/>
      <c r="D191" s="299"/>
      <c r="E191" s="299"/>
      <c r="F191" s="299"/>
      <c r="K191" s="265"/>
      <c r="L191" s="263"/>
      <c r="M191" s="562"/>
      <c r="N191" s="268"/>
      <c r="O191" s="433"/>
      <c r="P191" s="433"/>
      <c r="Q191" s="433"/>
      <c r="R191" s="433"/>
    </row>
    <row r="192" spans="3:18" s="264" customFormat="1">
      <c r="C192" s="299"/>
      <c r="D192" s="299"/>
      <c r="E192" s="299"/>
      <c r="F192" s="299"/>
      <c r="K192" s="265"/>
      <c r="L192" s="263"/>
      <c r="M192" s="562"/>
      <c r="N192" s="268"/>
      <c r="O192" s="433"/>
      <c r="P192" s="433"/>
      <c r="Q192" s="433"/>
      <c r="R192" s="433"/>
    </row>
    <row r="193" spans="3:18" s="264" customFormat="1">
      <c r="C193" s="299"/>
      <c r="D193" s="299"/>
      <c r="E193" s="299"/>
      <c r="F193" s="299"/>
      <c r="K193" s="265"/>
      <c r="L193" s="263"/>
      <c r="M193" s="562"/>
      <c r="N193" s="268"/>
      <c r="O193" s="433"/>
      <c r="P193" s="433"/>
      <c r="Q193" s="433"/>
      <c r="R193" s="433"/>
    </row>
    <row r="194" spans="3:18" s="264" customFormat="1">
      <c r="C194" s="299"/>
      <c r="D194" s="299"/>
      <c r="E194" s="299"/>
      <c r="F194" s="299"/>
      <c r="K194" s="265"/>
      <c r="L194" s="263"/>
      <c r="M194" s="562"/>
      <c r="N194" s="268"/>
      <c r="O194" s="433"/>
      <c r="P194" s="433"/>
      <c r="Q194" s="433"/>
      <c r="R194" s="433"/>
    </row>
    <row r="195" spans="3:18" s="264" customFormat="1">
      <c r="C195" s="299"/>
      <c r="D195" s="299"/>
      <c r="E195" s="299"/>
      <c r="F195" s="299"/>
      <c r="K195" s="265"/>
      <c r="L195" s="263"/>
      <c r="M195" s="562"/>
      <c r="N195" s="268"/>
      <c r="O195" s="433"/>
      <c r="P195" s="433"/>
      <c r="Q195" s="433"/>
      <c r="R195" s="433"/>
    </row>
    <row r="196" spans="3:18" s="264" customFormat="1">
      <c r="C196" s="299"/>
      <c r="D196" s="299"/>
      <c r="E196" s="299"/>
      <c r="F196" s="299"/>
      <c r="K196" s="265"/>
      <c r="L196" s="263"/>
      <c r="M196" s="562"/>
      <c r="N196" s="268"/>
      <c r="O196" s="433"/>
      <c r="P196" s="433"/>
      <c r="Q196" s="433"/>
      <c r="R196" s="433"/>
    </row>
    <row r="197" spans="3:18" s="264" customFormat="1">
      <c r="C197" s="299"/>
      <c r="D197" s="299"/>
      <c r="E197" s="299"/>
      <c r="F197" s="299"/>
      <c r="K197" s="265"/>
      <c r="L197" s="263"/>
      <c r="M197" s="562"/>
      <c r="N197" s="268"/>
      <c r="O197" s="433"/>
      <c r="P197" s="433"/>
      <c r="Q197" s="433"/>
      <c r="R197" s="433"/>
    </row>
    <row r="198" spans="3:18" s="264" customFormat="1">
      <c r="C198" s="299"/>
      <c r="D198" s="299"/>
      <c r="E198" s="299"/>
      <c r="F198" s="299"/>
      <c r="K198" s="265"/>
      <c r="L198" s="263"/>
      <c r="M198" s="562"/>
      <c r="N198" s="268"/>
      <c r="O198" s="433"/>
      <c r="P198" s="433"/>
      <c r="Q198" s="433"/>
      <c r="R198" s="433"/>
    </row>
    <row r="199" spans="3:18" s="264" customFormat="1">
      <c r="C199" s="299"/>
      <c r="D199" s="299"/>
      <c r="E199" s="299"/>
      <c r="F199" s="299"/>
      <c r="K199" s="265"/>
      <c r="L199" s="263"/>
      <c r="M199" s="562"/>
      <c r="N199" s="268"/>
      <c r="O199" s="433"/>
      <c r="P199" s="433"/>
      <c r="Q199" s="433"/>
      <c r="R199" s="433"/>
    </row>
    <row r="200" spans="3:18" s="264" customFormat="1">
      <c r="C200" s="299"/>
      <c r="D200" s="299"/>
      <c r="E200" s="299"/>
      <c r="F200" s="299"/>
      <c r="K200" s="265"/>
      <c r="L200" s="263"/>
      <c r="M200" s="562"/>
      <c r="N200" s="268"/>
      <c r="O200" s="433"/>
      <c r="P200" s="433"/>
      <c r="Q200" s="433"/>
      <c r="R200" s="433"/>
    </row>
    <row r="201" spans="3:18" s="264" customFormat="1">
      <c r="C201" s="299"/>
      <c r="D201" s="299"/>
      <c r="E201" s="299"/>
      <c r="F201" s="299"/>
      <c r="K201" s="265"/>
      <c r="L201" s="263"/>
      <c r="M201" s="562"/>
      <c r="N201" s="268"/>
      <c r="O201" s="433"/>
      <c r="P201" s="433"/>
      <c r="Q201" s="433"/>
      <c r="R201" s="433"/>
    </row>
    <row r="202" spans="3:18" s="264" customFormat="1">
      <c r="C202" s="299"/>
      <c r="D202" s="299"/>
      <c r="E202" s="299"/>
      <c r="F202" s="299"/>
      <c r="K202" s="265"/>
      <c r="L202" s="263"/>
      <c r="M202" s="562"/>
      <c r="N202" s="268"/>
      <c r="O202" s="433"/>
      <c r="P202" s="433"/>
      <c r="Q202" s="433"/>
      <c r="R202" s="433"/>
    </row>
    <row r="203" spans="3:18" s="264" customFormat="1">
      <c r="C203" s="299"/>
      <c r="D203" s="299"/>
      <c r="E203" s="299"/>
      <c r="F203" s="299"/>
      <c r="K203" s="265"/>
      <c r="L203" s="263"/>
      <c r="M203" s="562"/>
      <c r="N203" s="268"/>
      <c r="O203" s="433"/>
      <c r="P203" s="433"/>
      <c r="Q203" s="433"/>
      <c r="R203" s="433"/>
    </row>
    <row r="204" spans="3:18" s="264" customFormat="1">
      <c r="C204" s="299"/>
      <c r="D204" s="299"/>
      <c r="E204" s="299"/>
      <c r="F204" s="299"/>
      <c r="K204" s="265"/>
      <c r="L204" s="263"/>
      <c r="M204" s="562"/>
      <c r="N204" s="268"/>
      <c r="O204" s="433"/>
      <c r="P204" s="433"/>
      <c r="Q204" s="433"/>
      <c r="R204" s="433"/>
    </row>
    <row r="205" spans="3:18" s="264" customFormat="1">
      <c r="C205" s="299"/>
      <c r="D205" s="299"/>
      <c r="E205" s="299"/>
      <c r="F205" s="299"/>
      <c r="K205" s="265"/>
      <c r="L205" s="263"/>
      <c r="M205" s="562"/>
      <c r="N205" s="268"/>
      <c r="O205" s="433"/>
      <c r="P205" s="433"/>
      <c r="Q205" s="433"/>
      <c r="R205" s="433"/>
    </row>
    <row r="206" spans="3:18" s="264" customFormat="1">
      <c r="C206" s="299"/>
      <c r="D206" s="299"/>
      <c r="E206" s="299"/>
      <c r="F206" s="299"/>
      <c r="K206" s="265"/>
      <c r="L206" s="263"/>
      <c r="M206" s="562"/>
      <c r="N206" s="268"/>
      <c r="O206" s="433"/>
      <c r="P206" s="433"/>
      <c r="Q206" s="433"/>
      <c r="R206" s="433"/>
    </row>
    <row r="207" spans="3:18" s="264" customFormat="1">
      <c r="C207" s="299"/>
      <c r="D207" s="299"/>
      <c r="E207" s="299"/>
      <c r="F207" s="299"/>
      <c r="K207" s="265"/>
      <c r="L207" s="263"/>
      <c r="M207" s="562"/>
      <c r="N207" s="268"/>
      <c r="O207" s="433"/>
      <c r="P207" s="433"/>
      <c r="Q207" s="433"/>
      <c r="R207" s="433"/>
    </row>
    <row r="208" spans="3:18" s="264" customFormat="1">
      <c r="C208" s="299"/>
      <c r="D208" s="299"/>
      <c r="E208" s="299"/>
      <c r="F208" s="299"/>
      <c r="K208" s="265"/>
      <c r="L208" s="263"/>
      <c r="M208" s="562"/>
      <c r="N208" s="268"/>
      <c r="O208" s="433"/>
      <c r="P208" s="433"/>
      <c r="Q208" s="433"/>
      <c r="R208" s="433"/>
    </row>
    <row r="209" spans="3:18" s="264" customFormat="1">
      <c r="C209" s="299"/>
      <c r="D209" s="299"/>
      <c r="E209" s="299"/>
      <c r="F209" s="299"/>
      <c r="K209" s="265"/>
      <c r="L209" s="263"/>
      <c r="M209" s="562"/>
      <c r="N209" s="268"/>
      <c r="O209" s="433"/>
      <c r="P209" s="433"/>
      <c r="Q209" s="433"/>
      <c r="R209" s="433"/>
    </row>
    <row r="210" spans="3:18" s="264" customFormat="1">
      <c r="C210" s="299"/>
      <c r="D210" s="299"/>
      <c r="E210" s="299"/>
      <c r="F210" s="299"/>
      <c r="K210" s="265"/>
      <c r="L210" s="263"/>
      <c r="M210" s="562"/>
      <c r="N210" s="268"/>
      <c r="O210" s="433"/>
      <c r="P210" s="433"/>
      <c r="Q210" s="433"/>
      <c r="R210" s="433"/>
    </row>
    <row r="211" spans="3:18" s="264" customFormat="1">
      <c r="C211" s="299"/>
      <c r="D211" s="299"/>
      <c r="E211" s="299"/>
      <c r="F211" s="299"/>
      <c r="K211" s="265"/>
      <c r="L211" s="263"/>
      <c r="M211" s="562"/>
      <c r="N211" s="268"/>
      <c r="O211" s="433"/>
      <c r="P211" s="433"/>
      <c r="Q211" s="433"/>
      <c r="R211" s="433"/>
    </row>
    <row r="212" spans="3:18" s="264" customFormat="1">
      <c r="C212" s="299"/>
      <c r="D212" s="299"/>
      <c r="E212" s="299"/>
      <c r="F212" s="299"/>
      <c r="K212" s="265"/>
      <c r="L212" s="263"/>
      <c r="M212" s="562"/>
      <c r="N212" s="268"/>
      <c r="O212" s="433"/>
      <c r="P212" s="433"/>
      <c r="Q212" s="433"/>
      <c r="R212" s="433"/>
    </row>
    <row r="213" spans="3:18" s="264" customFormat="1">
      <c r="C213" s="299"/>
      <c r="D213" s="299"/>
      <c r="E213" s="299"/>
      <c r="F213" s="299"/>
      <c r="K213" s="265"/>
      <c r="L213" s="263"/>
      <c r="M213" s="562"/>
      <c r="N213" s="268"/>
      <c r="O213" s="433"/>
      <c r="P213" s="433"/>
      <c r="Q213" s="433"/>
      <c r="R213" s="433"/>
    </row>
    <row r="214" spans="3:18" s="264" customFormat="1">
      <c r="C214" s="299"/>
      <c r="D214" s="299"/>
      <c r="E214" s="299"/>
      <c r="F214" s="299"/>
      <c r="K214" s="265"/>
      <c r="L214" s="263"/>
      <c r="M214" s="562"/>
      <c r="N214" s="268"/>
      <c r="O214" s="433"/>
      <c r="P214" s="433"/>
      <c r="Q214" s="433"/>
      <c r="R214" s="433"/>
    </row>
    <row r="215" spans="3:18" s="264" customFormat="1">
      <c r="C215" s="299"/>
      <c r="D215" s="299"/>
      <c r="E215" s="299"/>
      <c r="F215" s="299"/>
      <c r="K215" s="265"/>
      <c r="L215" s="263"/>
      <c r="M215" s="562"/>
      <c r="N215" s="268"/>
      <c r="O215" s="433"/>
      <c r="P215" s="433"/>
      <c r="Q215" s="433"/>
      <c r="R215" s="433"/>
    </row>
    <row r="216" spans="3:18" s="264" customFormat="1">
      <c r="C216" s="299"/>
      <c r="D216" s="299"/>
      <c r="E216" s="299"/>
      <c r="F216" s="299"/>
      <c r="K216" s="265"/>
      <c r="L216" s="263"/>
      <c r="M216" s="562"/>
      <c r="N216" s="268"/>
      <c r="O216" s="433"/>
      <c r="P216" s="433"/>
      <c r="Q216" s="433"/>
      <c r="R216" s="433"/>
    </row>
    <row r="217" spans="3:18" s="264" customFormat="1">
      <c r="C217" s="299"/>
      <c r="D217" s="299"/>
      <c r="E217" s="299"/>
      <c r="F217" s="299"/>
      <c r="K217" s="265"/>
      <c r="L217" s="263"/>
      <c r="M217" s="562"/>
      <c r="N217" s="268"/>
      <c r="O217" s="433"/>
      <c r="P217" s="433"/>
      <c r="Q217" s="433"/>
      <c r="R217" s="433"/>
    </row>
    <row r="218" spans="3:18" s="264" customFormat="1">
      <c r="C218" s="299"/>
      <c r="D218" s="299"/>
      <c r="E218" s="299"/>
      <c r="F218" s="299"/>
      <c r="K218" s="265"/>
      <c r="L218" s="263"/>
      <c r="M218" s="562"/>
      <c r="N218" s="268"/>
      <c r="O218" s="433"/>
      <c r="P218" s="433"/>
      <c r="Q218" s="433"/>
      <c r="R218" s="433"/>
    </row>
    <row r="219" spans="3:18" s="264" customFormat="1">
      <c r="C219" s="299"/>
      <c r="D219" s="299"/>
      <c r="E219" s="299"/>
      <c r="F219" s="299"/>
      <c r="K219" s="265"/>
      <c r="L219" s="263"/>
      <c r="M219" s="562"/>
      <c r="N219" s="268"/>
      <c r="O219" s="433"/>
      <c r="P219" s="433"/>
      <c r="Q219" s="433"/>
      <c r="R219" s="433"/>
    </row>
    <row r="220" spans="3:18" s="264" customFormat="1">
      <c r="C220" s="299"/>
      <c r="D220" s="299"/>
      <c r="E220" s="299"/>
      <c r="F220" s="299"/>
      <c r="K220" s="265"/>
      <c r="L220" s="263"/>
      <c r="M220" s="562"/>
      <c r="N220" s="268"/>
      <c r="O220" s="433"/>
      <c r="P220" s="433"/>
      <c r="Q220" s="433"/>
      <c r="R220" s="433"/>
    </row>
    <row r="221" spans="3:18" s="264" customFormat="1">
      <c r="C221" s="299"/>
      <c r="D221" s="299"/>
      <c r="E221" s="299"/>
      <c r="F221" s="299"/>
      <c r="K221" s="265"/>
      <c r="L221" s="263"/>
      <c r="M221" s="562"/>
      <c r="N221" s="268"/>
      <c r="O221" s="433"/>
      <c r="P221" s="433"/>
      <c r="Q221" s="433"/>
      <c r="R221" s="433"/>
    </row>
    <row r="222" spans="3:18" s="264" customFormat="1">
      <c r="C222" s="299"/>
      <c r="D222" s="299"/>
      <c r="E222" s="299"/>
      <c r="F222" s="299"/>
      <c r="K222" s="265"/>
      <c r="L222" s="263"/>
      <c r="M222" s="562"/>
      <c r="N222" s="268"/>
      <c r="O222" s="433"/>
      <c r="P222" s="433"/>
      <c r="Q222" s="433"/>
      <c r="R222" s="433"/>
    </row>
    <row r="223" spans="3:18" s="264" customFormat="1">
      <c r="C223" s="299"/>
      <c r="D223" s="299"/>
      <c r="E223" s="299"/>
      <c r="F223" s="299"/>
      <c r="K223" s="265"/>
      <c r="L223" s="263"/>
      <c r="M223" s="562"/>
      <c r="N223" s="268"/>
      <c r="O223" s="433"/>
      <c r="P223" s="433"/>
      <c r="Q223" s="433"/>
      <c r="R223" s="433"/>
    </row>
    <row r="224" spans="3:18" s="264" customFormat="1">
      <c r="C224" s="299"/>
      <c r="D224" s="299"/>
      <c r="E224" s="299"/>
      <c r="F224" s="299"/>
      <c r="K224" s="265"/>
      <c r="L224" s="263"/>
      <c r="M224" s="562"/>
      <c r="N224" s="268"/>
      <c r="O224" s="433"/>
      <c r="P224" s="433"/>
      <c r="Q224" s="433"/>
      <c r="R224" s="433"/>
    </row>
    <row r="225" spans="3:18" s="264" customFormat="1">
      <c r="C225" s="299"/>
      <c r="D225" s="299"/>
      <c r="E225" s="299"/>
      <c r="F225" s="299"/>
      <c r="K225" s="265"/>
      <c r="L225" s="263"/>
      <c r="M225" s="562"/>
      <c r="N225" s="268"/>
      <c r="O225" s="433"/>
      <c r="P225" s="433"/>
      <c r="Q225" s="433"/>
      <c r="R225" s="433"/>
    </row>
    <row r="226" spans="3:18" s="264" customFormat="1">
      <c r="C226" s="299"/>
      <c r="D226" s="299"/>
      <c r="E226" s="299"/>
      <c r="F226" s="299"/>
      <c r="K226" s="265"/>
      <c r="L226" s="263"/>
      <c r="M226" s="562"/>
      <c r="N226" s="268"/>
      <c r="O226" s="433"/>
      <c r="P226" s="433"/>
      <c r="Q226" s="433"/>
      <c r="R226" s="433"/>
    </row>
    <row r="227" spans="3:18" s="264" customFormat="1">
      <c r="C227" s="299"/>
      <c r="D227" s="299"/>
      <c r="E227" s="299"/>
      <c r="F227" s="299"/>
      <c r="K227" s="265"/>
      <c r="L227" s="263"/>
      <c r="M227" s="562"/>
      <c r="N227" s="268"/>
      <c r="O227" s="433"/>
      <c r="P227" s="433"/>
      <c r="Q227" s="433"/>
      <c r="R227" s="433"/>
    </row>
    <row r="228" spans="3:18" s="264" customFormat="1">
      <c r="C228" s="299"/>
      <c r="D228" s="299"/>
      <c r="E228" s="299"/>
      <c r="F228" s="299"/>
      <c r="K228" s="265"/>
      <c r="L228" s="263"/>
      <c r="M228" s="562"/>
      <c r="N228" s="268"/>
      <c r="O228" s="433"/>
      <c r="P228" s="433"/>
      <c r="Q228" s="433"/>
      <c r="R228" s="433"/>
    </row>
    <row r="229" spans="3:18" s="264" customFormat="1">
      <c r="C229" s="299"/>
      <c r="D229" s="299"/>
      <c r="E229" s="299"/>
      <c r="F229" s="299"/>
      <c r="K229" s="265"/>
      <c r="L229" s="263"/>
      <c r="M229" s="562"/>
      <c r="N229" s="268"/>
      <c r="O229" s="433"/>
      <c r="P229" s="433"/>
      <c r="Q229" s="433"/>
      <c r="R229" s="433"/>
    </row>
    <row r="230" spans="3:18" s="264" customFormat="1">
      <c r="C230" s="299"/>
      <c r="D230" s="299"/>
      <c r="E230" s="299"/>
      <c r="F230" s="299"/>
      <c r="K230" s="265"/>
      <c r="L230" s="263"/>
      <c r="M230" s="562"/>
      <c r="N230" s="268"/>
      <c r="O230" s="433"/>
      <c r="P230" s="433"/>
      <c r="Q230" s="433"/>
      <c r="R230" s="433"/>
    </row>
    <row r="231" spans="3:18" s="264" customFormat="1">
      <c r="C231" s="299"/>
      <c r="D231" s="299"/>
      <c r="E231" s="299"/>
      <c r="F231" s="299"/>
      <c r="K231" s="265"/>
      <c r="L231" s="263"/>
      <c r="M231" s="562"/>
      <c r="N231" s="268"/>
      <c r="O231" s="433"/>
      <c r="P231" s="433"/>
      <c r="Q231" s="433"/>
      <c r="R231" s="433"/>
    </row>
    <row r="232" spans="3:18" s="264" customFormat="1">
      <c r="C232" s="299"/>
      <c r="D232" s="299"/>
      <c r="E232" s="299"/>
      <c r="F232" s="299"/>
      <c r="K232" s="265"/>
      <c r="L232" s="263"/>
      <c r="M232" s="562"/>
      <c r="N232" s="268"/>
      <c r="O232" s="433"/>
      <c r="P232" s="433"/>
      <c r="Q232" s="433"/>
      <c r="R232" s="433"/>
    </row>
    <row r="233" spans="3:18" s="264" customFormat="1">
      <c r="C233" s="299"/>
      <c r="D233" s="299"/>
      <c r="E233" s="299"/>
      <c r="F233" s="299"/>
      <c r="K233" s="265"/>
      <c r="L233" s="263"/>
      <c r="M233" s="562"/>
      <c r="N233" s="268"/>
      <c r="O233" s="433"/>
      <c r="P233" s="433"/>
      <c r="Q233" s="433"/>
      <c r="R233" s="433"/>
    </row>
    <row r="234" spans="3:18" s="264" customFormat="1">
      <c r="C234" s="299"/>
      <c r="D234" s="299"/>
      <c r="E234" s="299"/>
      <c r="F234" s="299"/>
      <c r="K234" s="265"/>
      <c r="L234" s="263"/>
      <c r="M234" s="562"/>
      <c r="N234" s="268"/>
      <c r="O234" s="433"/>
      <c r="P234" s="433"/>
      <c r="Q234" s="433"/>
      <c r="R234" s="433"/>
    </row>
    <row r="235" spans="3:18" s="264" customFormat="1">
      <c r="C235" s="299"/>
      <c r="D235" s="299"/>
      <c r="E235" s="299"/>
      <c r="F235" s="299"/>
      <c r="K235" s="265"/>
      <c r="L235" s="263"/>
      <c r="M235" s="562"/>
      <c r="N235" s="268"/>
      <c r="O235" s="433"/>
      <c r="P235" s="433"/>
      <c r="Q235" s="433"/>
      <c r="R235" s="433"/>
    </row>
    <row r="236" spans="3:18" s="264" customFormat="1">
      <c r="C236" s="299"/>
      <c r="D236" s="299"/>
      <c r="E236" s="299"/>
      <c r="F236" s="299"/>
      <c r="K236" s="265"/>
      <c r="L236" s="263"/>
      <c r="M236" s="562"/>
      <c r="N236" s="268"/>
      <c r="O236" s="433"/>
      <c r="P236" s="433"/>
      <c r="Q236" s="433"/>
      <c r="R236" s="433"/>
    </row>
    <row r="237" spans="3:18" s="264" customFormat="1">
      <c r="C237" s="299"/>
      <c r="D237" s="299"/>
      <c r="E237" s="299"/>
      <c r="F237" s="299"/>
      <c r="K237" s="265"/>
      <c r="L237" s="263"/>
      <c r="M237" s="562"/>
      <c r="N237" s="268"/>
      <c r="O237" s="433"/>
      <c r="P237" s="433"/>
      <c r="Q237" s="433"/>
      <c r="R237" s="433"/>
    </row>
    <row r="238" spans="3:18" s="264" customFormat="1">
      <c r="C238" s="299"/>
      <c r="D238" s="299"/>
      <c r="E238" s="299"/>
      <c r="F238" s="299"/>
      <c r="K238" s="265"/>
      <c r="L238" s="263"/>
      <c r="M238" s="562"/>
      <c r="N238" s="268"/>
      <c r="O238" s="433"/>
      <c r="P238" s="433"/>
      <c r="Q238" s="433"/>
      <c r="R238" s="433"/>
    </row>
    <row r="239" spans="3:18" s="264" customFormat="1">
      <c r="C239" s="299"/>
      <c r="D239" s="299"/>
      <c r="E239" s="299"/>
      <c r="F239" s="299"/>
      <c r="K239" s="265"/>
      <c r="L239" s="263"/>
      <c r="M239" s="562"/>
      <c r="N239" s="268"/>
      <c r="O239" s="433"/>
      <c r="P239" s="433"/>
      <c r="Q239" s="433"/>
      <c r="R239" s="433"/>
    </row>
    <row r="240" spans="3:18" s="264" customFormat="1">
      <c r="C240" s="299"/>
      <c r="D240" s="299"/>
      <c r="E240" s="299"/>
      <c r="F240" s="299"/>
      <c r="K240" s="265"/>
      <c r="L240" s="263"/>
      <c r="M240" s="562"/>
      <c r="N240" s="268"/>
      <c r="O240" s="433"/>
      <c r="P240" s="433"/>
      <c r="Q240" s="433"/>
      <c r="R240" s="433"/>
    </row>
    <row r="241" spans="3:18" s="264" customFormat="1">
      <c r="C241" s="299"/>
      <c r="D241" s="299"/>
      <c r="E241" s="299"/>
      <c r="F241" s="299"/>
      <c r="K241" s="265"/>
      <c r="L241" s="263"/>
      <c r="M241" s="562"/>
      <c r="N241" s="268"/>
      <c r="O241" s="433"/>
      <c r="P241" s="433"/>
      <c r="Q241" s="433"/>
      <c r="R241" s="433"/>
    </row>
    <row r="242" spans="3:18" s="264" customFormat="1">
      <c r="C242" s="299"/>
      <c r="D242" s="299"/>
      <c r="E242" s="299"/>
      <c r="F242" s="299"/>
      <c r="K242" s="265"/>
      <c r="L242" s="263"/>
      <c r="M242" s="562"/>
      <c r="N242" s="268"/>
      <c r="O242" s="433"/>
      <c r="P242" s="433"/>
      <c r="Q242" s="433"/>
      <c r="R242" s="433"/>
    </row>
    <row r="243" spans="3:18" s="264" customFormat="1">
      <c r="C243" s="299"/>
      <c r="D243" s="299"/>
      <c r="E243" s="299"/>
      <c r="F243" s="299"/>
      <c r="K243" s="265"/>
      <c r="L243" s="263"/>
      <c r="M243" s="562"/>
      <c r="N243" s="268"/>
      <c r="O243" s="433"/>
      <c r="P243" s="433"/>
      <c r="Q243" s="433"/>
      <c r="R243" s="433"/>
    </row>
    <row r="244" spans="3:18" s="264" customFormat="1">
      <c r="C244" s="299"/>
      <c r="D244" s="299"/>
      <c r="E244" s="299"/>
      <c r="F244" s="299"/>
      <c r="K244" s="265"/>
      <c r="L244" s="263"/>
      <c r="M244" s="562"/>
      <c r="N244" s="268"/>
      <c r="O244" s="433"/>
      <c r="P244" s="433"/>
      <c r="Q244" s="433"/>
      <c r="R244" s="433"/>
    </row>
    <row r="245" spans="3:18" s="264" customFormat="1">
      <c r="C245" s="299"/>
      <c r="D245" s="299"/>
      <c r="E245" s="299"/>
      <c r="F245" s="299"/>
      <c r="K245" s="265"/>
      <c r="L245" s="263"/>
      <c r="M245" s="562"/>
      <c r="N245" s="268"/>
      <c r="O245" s="433"/>
      <c r="P245" s="433"/>
      <c r="Q245" s="433"/>
      <c r="R245" s="433"/>
    </row>
    <row r="246" spans="3:18" s="264" customFormat="1">
      <c r="C246" s="299"/>
      <c r="D246" s="299"/>
      <c r="E246" s="299"/>
      <c r="F246" s="299"/>
      <c r="K246" s="265"/>
      <c r="L246" s="263"/>
      <c r="M246" s="562"/>
      <c r="N246" s="268"/>
      <c r="O246" s="433"/>
      <c r="P246" s="433"/>
      <c r="Q246" s="433"/>
      <c r="R246" s="433"/>
    </row>
    <row r="247" spans="3:18" s="264" customFormat="1">
      <c r="C247" s="299"/>
      <c r="D247" s="299"/>
      <c r="E247" s="299"/>
      <c r="F247" s="299"/>
      <c r="K247" s="265"/>
      <c r="L247" s="263"/>
      <c r="M247" s="562"/>
      <c r="N247" s="268"/>
      <c r="O247" s="433"/>
      <c r="P247" s="433"/>
      <c r="Q247" s="433"/>
      <c r="R247" s="433"/>
    </row>
    <row r="248" spans="3:18" s="264" customFormat="1">
      <c r="C248" s="299"/>
      <c r="D248" s="299"/>
      <c r="E248" s="299"/>
      <c r="F248" s="299"/>
      <c r="K248" s="265"/>
      <c r="L248" s="263"/>
      <c r="M248" s="562"/>
      <c r="N248" s="268"/>
      <c r="O248" s="433"/>
      <c r="P248" s="433"/>
      <c r="Q248" s="433"/>
      <c r="R248" s="433"/>
    </row>
    <row r="249" spans="3:18" s="264" customFormat="1">
      <c r="C249" s="299"/>
      <c r="D249" s="299"/>
      <c r="E249" s="299"/>
      <c r="F249" s="299"/>
      <c r="K249" s="265"/>
      <c r="L249" s="263"/>
      <c r="M249" s="562"/>
      <c r="N249" s="268"/>
      <c r="O249" s="433"/>
      <c r="P249" s="433"/>
      <c r="Q249" s="433"/>
      <c r="R249" s="433"/>
    </row>
    <row r="250" spans="3:18" s="264" customFormat="1">
      <c r="C250" s="299"/>
      <c r="D250" s="299"/>
      <c r="E250" s="299"/>
      <c r="F250" s="299"/>
      <c r="K250" s="265"/>
      <c r="L250" s="263"/>
      <c r="M250" s="562"/>
      <c r="N250" s="268"/>
      <c r="O250" s="433"/>
      <c r="P250" s="433"/>
      <c r="Q250" s="433"/>
      <c r="R250" s="433"/>
    </row>
    <row r="251" spans="3:18" s="264" customFormat="1">
      <c r="C251" s="299"/>
      <c r="D251" s="299"/>
      <c r="E251" s="299"/>
      <c r="F251" s="299"/>
      <c r="K251" s="265"/>
      <c r="L251" s="263"/>
      <c r="M251" s="562"/>
      <c r="N251" s="268"/>
      <c r="O251" s="433"/>
      <c r="P251" s="433"/>
      <c r="Q251" s="433"/>
      <c r="R251" s="433"/>
    </row>
    <row r="252" spans="3:18" s="264" customFormat="1">
      <c r="C252" s="299"/>
      <c r="D252" s="299"/>
      <c r="E252" s="299"/>
      <c r="F252" s="299"/>
      <c r="K252" s="265"/>
      <c r="L252" s="263"/>
      <c r="M252" s="562"/>
      <c r="N252" s="268"/>
      <c r="O252" s="433"/>
      <c r="P252" s="433"/>
      <c r="Q252" s="433"/>
      <c r="R252" s="433"/>
    </row>
    <row r="253" spans="3:18" s="264" customFormat="1">
      <c r="C253" s="299"/>
      <c r="D253" s="299"/>
      <c r="E253" s="299"/>
      <c r="F253" s="299"/>
      <c r="K253" s="265"/>
      <c r="L253" s="263"/>
      <c r="M253" s="562"/>
      <c r="N253" s="268"/>
      <c r="O253" s="433"/>
      <c r="P253" s="433"/>
      <c r="Q253" s="433"/>
      <c r="R253" s="433"/>
    </row>
    <row r="254" spans="3:18" s="264" customFormat="1">
      <c r="C254" s="299"/>
      <c r="D254" s="299"/>
      <c r="E254" s="299"/>
      <c r="F254" s="299"/>
      <c r="K254" s="265"/>
      <c r="L254" s="263"/>
      <c r="M254" s="562"/>
      <c r="N254" s="268"/>
      <c r="O254" s="433"/>
      <c r="P254" s="433"/>
      <c r="Q254" s="433"/>
      <c r="R254" s="433"/>
    </row>
    <row r="255" spans="3:18" s="264" customFormat="1">
      <c r="C255" s="299"/>
      <c r="D255" s="299"/>
      <c r="E255" s="299"/>
      <c r="F255" s="299"/>
      <c r="K255" s="265"/>
      <c r="L255" s="263"/>
      <c r="M255" s="562"/>
      <c r="N255" s="268"/>
      <c r="O255" s="433"/>
      <c r="P255" s="433"/>
      <c r="Q255" s="433"/>
      <c r="R255" s="433"/>
    </row>
    <row r="256" spans="3:18" s="264" customFormat="1">
      <c r="C256" s="299"/>
      <c r="D256" s="299"/>
      <c r="E256" s="299"/>
      <c r="F256" s="299"/>
      <c r="K256" s="265"/>
      <c r="L256" s="263"/>
      <c r="M256" s="562"/>
      <c r="N256" s="268"/>
      <c r="O256" s="433"/>
      <c r="P256" s="433"/>
      <c r="Q256" s="433"/>
      <c r="R256" s="433"/>
    </row>
    <row r="257" spans="3:18" s="264" customFormat="1">
      <c r="C257" s="299"/>
      <c r="D257" s="299"/>
      <c r="E257" s="299"/>
      <c r="F257" s="299"/>
      <c r="K257" s="265"/>
      <c r="L257" s="263"/>
      <c r="M257" s="562"/>
      <c r="N257" s="268"/>
      <c r="O257" s="433"/>
      <c r="P257" s="433"/>
      <c r="Q257" s="433"/>
      <c r="R257" s="433"/>
    </row>
    <row r="258" spans="3:18" s="264" customFormat="1">
      <c r="C258" s="299"/>
      <c r="D258" s="299"/>
      <c r="E258" s="299"/>
      <c r="F258" s="299"/>
      <c r="K258" s="265"/>
      <c r="L258" s="263"/>
      <c r="M258" s="562"/>
      <c r="N258" s="268"/>
      <c r="O258" s="433"/>
      <c r="P258" s="433"/>
      <c r="Q258" s="433"/>
      <c r="R258" s="433"/>
    </row>
    <row r="259" spans="3:18" s="264" customFormat="1">
      <c r="C259" s="299"/>
      <c r="D259" s="299"/>
      <c r="E259" s="299"/>
      <c r="F259" s="299"/>
      <c r="K259" s="265"/>
      <c r="L259" s="263"/>
      <c r="M259" s="562"/>
      <c r="N259" s="268"/>
      <c r="O259" s="433"/>
      <c r="P259" s="433"/>
      <c r="Q259" s="433"/>
      <c r="R259" s="433"/>
    </row>
    <row r="260" spans="3:18" s="264" customFormat="1">
      <c r="C260" s="299"/>
      <c r="D260" s="299"/>
      <c r="E260" s="299"/>
      <c r="F260" s="299"/>
      <c r="K260" s="265"/>
      <c r="L260" s="263"/>
      <c r="M260" s="562"/>
      <c r="N260" s="268"/>
      <c r="O260" s="433"/>
      <c r="P260" s="433"/>
      <c r="Q260" s="433"/>
      <c r="R260" s="433"/>
    </row>
    <row r="261" spans="3:18" s="264" customFormat="1">
      <c r="C261" s="299"/>
      <c r="D261" s="299"/>
      <c r="E261" s="299"/>
      <c r="F261" s="299"/>
      <c r="K261" s="265"/>
      <c r="L261" s="263"/>
      <c r="M261" s="562"/>
      <c r="N261" s="268"/>
      <c r="O261" s="433"/>
      <c r="P261" s="433"/>
      <c r="Q261" s="433"/>
      <c r="R261" s="433"/>
    </row>
    <row r="262" spans="3:18" s="264" customFormat="1">
      <c r="C262" s="299"/>
      <c r="D262" s="299"/>
      <c r="E262" s="299"/>
      <c r="F262" s="299"/>
      <c r="K262" s="265"/>
      <c r="L262" s="263"/>
      <c r="M262" s="562"/>
      <c r="N262" s="268"/>
      <c r="O262" s="433"/>
      <c r="P262" s="433"/>
      <c r="Q262" s="433"/>
      <c r="R262" s="433"/>
    </row>
    <row r="263" spans="3:18" s="264" customFormat="1">
      <c r="C263" s="299"/>
      <c r="D263" s="299"/>
      <c r="E263" s="299"/>
      <c r="F263" s="299"/>
      <c r="K263" s="265"/>
      <c r="L263" s="263"/>
      <c r="M263" s="562"/>
      <c r="N263" s="268"/>
      <c r="O263" s="433"/>
      <c r="P263" s="433"/>
      <c r="Q263" s="433"/>
      <c r="R263" s="433"/>
    </row>
    <row r="264" spans="3:18" s="264" customFormat="1">
      <c r="C264" s="299"/>
      <c r="D264" s="299"/>
      <c r="E264" s="299"/>
      <c r="F264" s="299"/>
      <c r="K264" s="265"/>
      <c r="L264" s="263"/>
      <c r="M264" s="562"/>
      <c r="N264" s="268"/>
      <c r="O264" s="433"/>
      <c r="P264" s="433"/>
      <c r="Q264" s="433"/>
      <c r="R264" s="433"/>
    </row>
    <row r="265" spans="3:18" s="264" customFormat="1">
      <c r="C265" s="299"/>
      <c r="D265" s="299"/>
      <c r="E265" s="299"/>
      <c r="F265" s="299"/>
      <c r="K265" s="265"/>
      <c r="L265" s="263"/>
      <c r="M265" s="562"/>
      <c r="N265" s="268"/>
      <c r="O265" s="433"/>
      <c r="P265" s="433"/>
      <c r="Q265" s="433"/>
      <c r="R265" s="433"/>
    </row>
    <row r="266" spans="3:18" s="264" customFormat="1">
      <c r="C266" s="299"/>
      <c r="D266" s="299"/>
      <c r="E266" s="299"/>
      <c r="F266" s="299"/>
      <c r="K266" s="265"/>
      <c r="L266" s="263"/>
      <c r="M266" s="562"/>
      <c r="N266" s="268"/>
      <c r="O266" s="433"/>
      <c r="P266" s="433"/>
      <c r="Q266" s="433"/>
      <c r="R266" s="433"/>
    </row>
    <row r="267" spans="3:18" s="264" customFormat="1">
      <c r="C267" s="299"/>
      <c r="D267" s="299"/>
      <c r="E267" s="299"/>
      <c r="F267" s="299"/>
      <c r="K267" s="265"/>
      <c r="L267" s="263"/>
      <c r="M267" s="562"/>
      <c r="N267" s="268"/>
      <c r="O267" s="433"/>
      <c r="P267" s="433"/>
      <c r="Q267" s="433"/>
      <c r="R267" s="433"/>
    </row>
    <row r="268" spans="3:18" s="264" customFormat="1">
      <c r="C268" s="299"/>
      <c r="D268" s="299"/>
      <c r="E268" s="299"/>
      <c r="F268" s="299"/>
      <c r="K268" s="265"/>
      <c r="L268" s="263"/>
      <c r="M268" s="562"/>
      <c r="N268" s="268"/>
      <c r="O268" s="433"/>
      <c r="P268" s="433"/>
      <c r="Q268" s="433"/>
      <c r="R268" s="433"/>
    </row>
    <row r="269" spans="3:18" s="264" customFormat="1">
      <c r="C269" s="299"/>
      <c r="D269" s="299"/>
      <c r="E269" s="299"/>
      <c r="F269" s="299"/>
      <c r="K269" s="265"/>
      <c r="L269" s="263"/>
      <c r="M269" s="562"/>
      <c r="N269" s="268"/>
      <c r="O269" s="433"/>
      <c r="P269" s="433"/>
      <c r="Q269" s="433"/>
      <c r="R269" s="433"/>
    </row>
    <row r="270" spans="3:18" s="264" customFormat="1">
      <c r="C270" s="299"/>
      <c r="D270" s="299"/>
      <c r="E270" s="299"/>
      <c r="F270" s="299"/>
      <c r="K270" s="265"/>
      <c r="L270" s="263"/>
      <c r="M270" s="562"/>
      <c r="N270" s="268"/>
      <c r="O270" s="433"/>
      <c r="P270" s="433"/>
      <c r="Q270" s="433"/>
      <c r="R270" s="433"/>
    </row>
    <row r="271" spans="3:18" s="264" customFormat="1">
      <c r="C271" s="299"/>
      <c r="D271" s="299"/>
      <c r="E271" s="299"/>
      <c r="F271" s="299"/>
      <c r="K271" s="265"/>
      <c r="L271" s="263"/>
      <c r="M271" s="562"/>
      <c r="N271" s="268"/>
      <c r="O271" s="433"/>
      <c r="P271" s="433"/>
      <c r="Q271" s="433"/>
      <c r="R271" s="433"/>
    </row>
    <row r="272" spans="3:18" s="264" customFormat="1">
      <c r="C272" s="299"/>
      <c r="D272" s="299"/>
      <c r="E272" s="299"/>
      <c r="F272" s="299"/>
      <c r="K272" s="265"/>
      <c r="L272" s="263"/>
      <c r="M272" s="562"/>
      <c r="N272" s="268"/>
      <c r="O272" s="433"/>
      <c r="P272" s="433"/>
      <c r="Q272" s="433"/>
      <c r="R272" s="433"/>
    </row>
    <row r="273" spans="1:39" s="264" customFormat="1">
      <c r="C273" s="299"/>
      <c r="D273" s="299"/>
      <c r="E273" s="299"/>
      <c r="F273" s="299"/>
      <c r="K273" s="265"/>
      <c r="L273" s="263"/>
      <c r="M273" s="562"/>
      <c r="N273" s="268"/>
      <c r="O273" s="433"/>
      <c r="P273" s="433"/>
      <c r="Q273" s="433"/>
      <c r="R273" s="433"/>
    </row>
    <row r="274" spans="1:39" s="264" customFormat="1">
      <c r="C274" s="299"/>
      <c r="D274" s="299"/>
      <c r="E274" s="299"/>
      <c r="F274" s="299"/>
      <c r="K274" s="265"/>
      <c r="L274" s="263"/>
      <c r="M274" s="562"/>
      <c r="N274" s="268"/>
      <c r="O274" s="433"/>
      <c r="P274" s="433"/>
      <c r="Q274" s="433"/>
      <c r="R274" s="433"/>
    </row>
    <row r="275" spans="1:39" s="264" customFormat="1">
      <c r="C275" s="299"/>
      <c r="D275" s="299"/>
      <c r="E275" s="299"/>
      <c r="F275" s="299"/>
      <c r="K275" s="265"/>
      <c r="L275" s="263"/>
      <c r="M275" s="562"/>
      <c r="N275" s="268"/>
      <c r="O275" s="433"/>
      <c r="P275" s="433"/>
      <c r="Q275" s="433"/>
      <c r="R275" s="433"/>
    </row>
    <row r="276" spans="1:39" s="264" customFormat="1">
      <c r="C276" s="299"/>
      <c r="D276" s="299"/>
      <c r="E276" s="299"/>
      <c r="F276" s="299"/>
      <c r="K276" s="265"/>
      <c r="L276" s="263"/>
      <c r="M276" s="562"/>
      <c r="N276" s="268"/>
      <c r="O276" s="433"/>
      <c r="P276" s="433"/>
      <c r="Q276" s="433"/>
      <c r="R276" s="433"/>
    </row>
    <row r="277" spans="1:39" s="264" customFormat="1">
      <c r="C277" s="299"/>
      <c r="D277" s="299"/>
      <c r="E277" s="299"/>
      <c r="F277" s="299"/>
      <c r="K277" s="265"/>
      <c r="L277" s="263"/>
      <c r="M277" s="562"/>
      <c r="N277" s="268"/>
      <c r="O277" s="433"/>
      <c r="P277" s="433"/>
      <c r="Q277" s="433"/>
      <c r="R277" s="433"/>
    </row>
    <row r="278" spans="1:39" s="264" customFormat="1">
      <c r="C278" s="299"/>
      <c r="D278" s="299"/>
      <c r="E278" s="299"/>
      <c r="F278" s="299"/>
      <c r="K278" s="265"/>
      <c r="L278" s="263"/>
      <c r="M278" s="562"/>
      <c r="N278" s="268"/>
      <c r="O278" s="433"/>
      <c r="P278" s="433"/>
      <c r="Q278" s="433"/>
      <c r="R278" s="433"/>
    </row>
    <row r="279" spans="1:39">
      <c r="A279" s="264"/>
      <c r="B279" s="264"/>
      <c r="C279" s="299"/>
      <c r="D279" s="299"/>
      <c r="E279" s="299"/>
      <c r="F279" s="299"/>
      <c r="K279" s="265"/>
      <c r="L279" s="242"/>
      <c r="M279" s="242"/>
      <c r="N279" s="242"/>
      <c r="O279" s="242"/>
      <c r="P279" s="242"/>
      <c r="Q279" s="242"/>
      <c r="R279" s="242"/>
      <c r="S279" s="242"/>
      <c r="T279" s="242"/>
      <c r="U279" s="242"/>
      <c r="V279" s="242"/>
      <c r="W279" s="242"/>
      <c r="X279" s="242"/>
      <c r="Y279" s="242"/>
      <c r="Z279" s="242"/>
      <c r="AA279" s="242"/>
      <c r="AB279" s="242"/>
      <c r="AC279" s="242"/>
      <c r="AD279" s="242"/>
      <c r="AE279" s="242"/>
      <c r="AF279" s="242"/>
      <c r="AG279" s="242"/>
      <c r="AH279" s="242"/>
      <c r="AI279" s="242"/>
      <c r="AJ279" s="242"/>
      <c r="AK279" s="242"/>
      <c r="AL279" s="242"/>
      <c r="AM279" s="242"/>
    </row>
    <row r="280" spans="1:39">
      <c r="A280" s="264"/>
      <c r="B280" s="264"/>
      <c r="C280" s="299"/>
      <c r="D280" s="299"/>
      <c r="E280" s="299"/>
      <c r="F280" s="299"/>
      <c r="K280" s="265"/>
      <c r="L280" s="242"/>
      <c r="M280" s="242"/>
      <c r="N280" s="242"/>
      <c r="O280" s="242"/>
      <c r="P280" s="242"/>
      <c r="Q280" s="242"/>
      <c r="R280" s="242"/>
      <c r="S280" s="242"/>
      <c r="T280" s="242"/>
      <c r="U280" s="242"/>
      <c r="V280" s="242"/>
      <c r="W280" s="242"/>
      <c r="X280" s="242"/>
      <c r="Y280" s="242"/>
      <c r="Z280" s="242"/>
      <c r="AA280" s="242"/>
      <c r="AB280" s="242"/>
      <c r="AC280" s="242"/>
      <c r="AD280" s="242"/>
      <c r="AE280" s="242"/>
      <c r="AF280" s="242"/>
      <c r="AG280" s="242"/>
      <c r="AH280" s="242"/>
      <c r="AI280" s="242"/>
      <c r="AJ280" s="242"/>
      <c r="AK280" s="242"/>
      <c r="AL280" s="242"/>
      <c r="AM280" s="242"/>
    </row>
    <row r="281" spans="1:39">
      <c r="A281" s="264"/>
      <c r="B281" s="264"/>
      <c r="L281" s="242"/>
      <c r="M281" s="242"/>
      <c r="N281" s="242"/>
      <c r="O281" s="242"/>
      <c r="P281" s="242"/>
      <c r="Q281" s="242"/>
      <c r="R281" s="242"/>
      <c r="S281" s="242"/>
      <c r="T281" s="242"/>
      <c r="U281" s="242"/>
      <c r="V281" s="242"/>
      <c r="W281" s="242"/>
      <c r="X281" s="242"/>
      <c r="Y281" s="242"/>
      <c r="Z281" s="242"/>
      <c r="AA281" s="242"/>
      <c r="AB281" s="242"/>
      <c r="AC281" s="242"/>
      <c r="AD281" s="242"/>
      <c r="AE281" s="242"/>
      <c r="AF281" s="242"/>
      <c r="AG281" s="242"/>
      <c r="AH281" s="242"/>
      <c r="AI281" s="242"/>
      <c r="AJ281" s="242"/>
      <c r="AK281" s="242"/>
      <c r="AL281" s="242"/>
      <c r="AM281" s="242"/>
    </row>
    <row r="282" spans="1:39">
      <c r="A282" s="264"/>
      <c r="B282" s="264"/>
      <c r="L282" s="242"/>
      <c r="M282" s="242"/>
      <c r="N282" s="242"/>
      <c r="O282" s="242"/>
      <c r="P282" s="242"/>
      <c r="Q282" s="242"/>
      <c r="R282" s="242"/>
      <c r="S282" s="242"/>
      <c r="T282" s="242"/>
      <c r="U282" s="242"/>
      <c r="V282" s="242"/>
      <c r="W282" s="242"/>
      <c r="X282" s="242"/>
      <c r="Y282" s="242"/>
      <c r="Z282" s="242"/>
      <c r="AA282" s="242"/>
      <c r="AB282" s="242"/>
      <c r="AC282" s="242"/>
      <c r="AD282" s="242"/>
      <c r="AE282" s="242"/>
      <c r="AF282" s="242"/>
      <c r="AG282" s="242"/>
      <c r="AH282" s="242"/>
      <c r="AI282" s="242"/>
      <c r="AJ282" s="242"/>
      <c r="AK282" s="242"/>
      <c r="AL282" s="242"/>
      <c r="AM282" s="242"/>
    </row>
    <row r="283" spans="1:39">
      <c r="A283" s="264"/>
      <c r="B283" s="264"/>
      <c r="L283" s="242"/>
      <c r="M283" s="242"/>
      <c r="N283" s="242"/>
      <c r="O283" s="242"/>
      <c r="P283" s="242"/>
      <c r="Q283" s="242"/>
      <c r="R283" s="242"/>
      <c r="S283" s="242"/>
      <c r="T283" s="242"/>
      <c r="U283" s="242"/>
      <c r="V283" s="242"/>
      <c r="W283" s="242"/>
      <c r="X283" s="242"/>
      <c r="Y283" s="242"/>
      <c r="Z283" s="242"/>
      <c r="AA283" s="242"/>
      <c r="AB283" s="242"/>
      <c r="AC283" s="242"/>
      <c r="AD283" s="242"/>
      <c r="AE283" s="242"/>
      <c r="AF283" s="242"/>
      <c r="AG283" s="242"/>
      <c r="AH283" s="242"/>
      <c r="AI283" s="242"/>
      <c r="AJ283" s="242"/>
      <c r="AK283" s="242"/>
      <c r="AL283" s="242"/>
      <c r="AM283" s="242"/>
    </row>
  </sheetData>
  <sheetProtection algorithmName="SHA-512" hashValue="MzQA7dhQTi6+KYyLGJD1LKkSjVDurHiQ49tqlX5DbHEYwT4WerJq5myih4rkC3tHS0cp6taRpa9c7JJVRVO0Ig==" saltValue="ixW4fGKMyhASqfR3qbvbUg==" spinCount="100000" sheet="1" objects="1" scenarios="1"/>
  <customSheetViews>
    <customSheetView guid="{25C4E7E7-1006-4A2D-BC83-AEE4ADF8A914}" scale="70" colorId="22" showPageBreaks="1" fitToPage="1" printArea="1" hiddenRows="1" showRuler="0" topLeftCell="A31">
      <selection activeCell="A42" sqref="A42"/>
      <pageMargins left="0.75" right="0.5" top="0.75" bottom="0.5" header="0.5" footer="0.5"/>
      <pageSetup scale="49" orientation="portrait" r:id="rId1"/>
      <headerFooter alignWithMargins="0"/>
    </customSheetView>
    <customSheetView guid="{28F81D13-D146-4D67-8981-BA5D7A496326}" scale="75" colorId="22" showPageBreaks="1" fitToPage="1" printArea="1" showRuler="0" topLeftCell="C1">
      <selection activeCell="G77" sqref="A1:G77"/>
      <pageMargins left="0.5" right="0.5" top="0.5" bottom="0.5" header="0.5" footer="0.5"/>
      <pageSetup scale="61" orientation="portrait" r:id="rId2"/>
      <headerFooter alignWithMargins="0"/>
    </customSheetView>
    <customSheetView guid="{AEA5979F-5357-4ED6-A6CA-1BB80F5C7A74}" scale="75" colorId="22" showPageBreaks="1" fitToPage="1" printArea="1" showRuler="0" topLeftCell="A49">
      <selection activeCell="C83" sqref="C83"/>
      <pageMargins left="0.5" right="0.5" top="0.5" bottom="0.5" header="0.5" footer="0.5"/>
      <pageSetup scale="61" orientation="portrait" r:id="rId3"/>
      <headerFooter alignWithMargins="0"/>
    </customSheetView>
    <customSheetView guid="{EB776EFC-3589-4DB5-BEAF-1E83D9703F9E}" scale="75" colorId="22" fitToPage="1" hiddenColumns="1" showRuler="0" topLeftCell="A52">
      <selection activeCell="F56" sqref="F56"/>
      <pageMargins left="0.5" right="0.5" top="0.5" bottom="0.5" header="0.5" footer="0.5"/>
      <pageSetup scale="63" orientation="portrait" r:id="rId4"/>
      <headerFooter alignWithMargins="0"/>
    </customSheetView>
    <customSheetView guid="{FBB4BF8E-8A9F-4E98-A6F9-5F9BF4C55C67}" scale="75" colorId="22" showPageBreaks="1" fitToPage="1" printArea="1" hiddenColumns="1" showRuler="0" topLeftCell="B49">
      <selection activeCell="F54" sqref="F54"/>
      <pageMargins left="0.5" right="0.5" top="0.5" bottom="0.5" header="0.5" footer="0.5"/>
      <pageSetup scale="64" orientation="portrait" r:id="rId5"/>
      <headerFooter alignWithMargins="0"/>
    </customSheetView>
    <customSheetView guid="{6EF643BE-69F3-424E-8A44-3890161370D4}" scale="75" colorId="22" showPageBreaks="1" fitToPage="1" printArea="1" showRuler="0">
      <selection activeCell="E77" sqref="E77"/>
      <pageMargins left="0.5" right="0.5" top="0.5" bottom="0.5" header="0.5" footer="0.5"/>
      <pageSetup scale="67" orientation="portrait" r:id="rId6"/>
      <headerFooter alignWithMargins="0"/>
    </customSheetView>
    <customSheetView guid="{1ECE83C7-A3CE-4F97-BFD3-498FF783C0D9}" scale="70" colorId="22" showPageBreaks="1" fitToPage="1" printArea="1" showRuler="0" topLeftCell="A34">
      <selection activeCell="A60" sqref="A60"/>
      <pageMargins left="0.75" right="0.5" top="0.75" bottom="0.5" header="0.5" footer="0.5"/>
      <pageSetup scale="53" orientation="portrait" r:id="rId7"/>
      <headerFooter alignWithMargins="0"/>
    </customSheetView>
    <customSheetView guid="{560D4AFA-61E5-46C3-B0CD-D0EB3053A033}" scale="70" colorId="22" showPageBreaks="1" fitToPage="1" printArea="1" hiddenRows="1" showRuler="0">
      <selection activeCell="I23" sqref="I23"/>
      <pageMargins left="0.75" right="0.5" top="0.75" bottom="0.5" header="0.5" footer="0.5"/>
      <pageSetup scale="49" orientation="portrait" r:id="rId8"/>
      <headerFooter alignWithMargins="0"/>
    </customSheetView>
  </customSheetViews>
  <mergeCells count="186">
    <mergeCell ref="A73:B73"/>
    <mergeCell ref="C106:G106"/>
    <mergeCell ref="C108:G108"/>
    <mergeCell ref="A32:B32"/>
    <mergeCell ref="A27:B27"/>
    <mergeCell ref="A28:B28"/>
    <mergeCell ref="A29:B29"/>
    <mergeCell ref="A30:B30"/>
    <mergeCell ref="A31:B31"/>
    <mergeCell ref="A74:B74"/>
    <mergeCell ref="C100:D100"/>
    <mergeCell ref="C103:D103"/>
    <mergeCell ref="C96:D99"/>
    <mergeCell ref="E96:F99"/>
    <mergeCell ref="E103:F103"/>
    <mergeCell ref="F80:G80"/>
    <mergeCell ref="D81:E81"/>
    <mergeCell ref="F81:G81"/>
    <mergeCell ref="D84:E84"/>
    <mergeCell ref="B79:C79"/>
    <mergeCell ref="A76:B76"/>
    <mergeCell ref="A78:B78"/>
    <mergeCell ref="A77:B77"/>
    <mergeCell ref="A72:B72"/>
    <mergeCell ref="B1:E1"/>
    <mergeCell ref="G70:I70"/>
    <mergeCell ref="E7:G7"/>
    <mergeCell ref="A54:B54"/>
    <mergeCell ref="A61:B61"/>
    <mergeCell ref="A62:B62"/>
    <mergeCell ref="A51:B51"/>
    <mergeCell ref="A52:B52"/>
    <mergeCell ref="A55:B55"/>
    <mergeCell ref="A56:B56"/>
    <mergeCell ref="A57:B57"/>
    <mergeCell ref="F1:G1"/>
    <mergeCell ref="A59:B59"/>
    <mergeCell ref="G34:I34"/>
    <mergeCell ref="A35:B35"/>
    <mergeCell ref="A17:B17"/>
    <mergeCell ref="A18:B18"/>
    <mergeCell ref="A19:B19"/>
    <mergeCell ref="A22:B22"/>
    <mergeCell ref="A23:B23"/>
    <mergeCell ref="A24:B24"/>
    <mergeCell ref="A25:B25"/>
    <mergeCell ref="G8:I8"/>
    <mergeCell ref="A9:B9"/>
    <mergeCell ref="A10:B10"/>
    <mergeCell ref="A58:B58"/>
    <mergeCell ref="A53:B53"/>
    <mergeCell ref="A70:B70"/>
    <mergeCell ref="A20:B20"/>
    <mergeCell ref="A26:B26"/>
    <mergeCell ref="A33:B33"/>
    <mergeCell ref="A50:B50"/>
    <mergeCell ref="A14:B14"/>
    <mergeCell ref="A60:B60"/>
    <mergeCell ref="A66:B66"/>
    <mergeCell ref="A12:B12"/>
    <mergeCell ref="A63:B63"/>
    <mergeCell ref="A64:B64"/>
    <mergeCell ref="A67:B67"/>
    <mergeCell ref="A68:B68"/>
    <mergeCell ref="A16:B16"/>
    <mergeCell ref="A11:B11"/>
    <mergeCell ref="A48:B48"/>
    <mergeCell ref="A49:B49"/>
    <mergeCell ref="A15:B15"/>
    <mergeCell ref="Q37:Q38"/>
    <mergeCell ref="F79:G79"/>
    <mergeCell ref="D79:E79"/>
    <mergeCell ref="H79:I79"/>
    <mergeCell ref="H89:I89"/>
    <mergeCell ref="B80:C80"/>
    <mergeCell ref="F85:G85"/>
    <mergeCell ref="F86:G86"/>
    <mergeCell ref="F87:G87"/>
    <mergeCell ref="F88:G88"/>
    <mergeCell ref="H85:I85"/>
    <mergeCell ref="H87:I87"/>
    <mergeCell ref="K85:L85"/>
    <mergeCell ref="K86:L86"/>
    <mergeCell ref="K87:L87"/>
    <mergeCell ref="K88:L88"/>
    <mergeCell ref="K89:L89"/>
    <mergeCell ref="H88:I88"/>
    <mergeCell ref="H86:I86"/>
    <mergeCell ref="H80:I80"/>
    <mergeCell ref="A65:B65"/>
    <mergeCell ref="A69:B69"/>
    <mergeCell ref="A71:B71"/>
    <mergeCell ref="A75:B75"/>
    <mergeCell ref="H83:I83"/>
    <mergeCell ref="K80:L80"/>
    <mergeCell ref="K81:L81"/>
    <mergeCell ref="K82:L82"/>
    <mergeCell ref="K83:L83"/>
    <mergeCell ref="K84:L84"/>
    <mergeCell ref="D80:E80"/>
    <mergeCell ref="A80:A81"/>
    <mergeCell ref="B81:C81"/>
    <mergeCell ref="B82:C82"/>
    <mergeCell ref="B83:C83"/>
    <mergeCell ref="H81:I81"/>
    <mergeCell ref="D82:E82"/>
    <mergeCell ref="F82:G82"/>
    <mergeCell ref="H82:I82"/>
    <mergeCell ref="D83:E83"/>
    <mergeCell ref="F83:G83"/>
    <mergeCell ref="D89:E89"/>
    <mergeCell ref="F89:G89"/>
    <mergeCell ref="D88:E88"/>
    <mergeCell ref="D90:E90"/>
    <mergeCell ref="F90:G90"/>
    <mergeCell ref="H90:I90"/>
    <mergeCell ref="K90:L90"/>
    <mergeCell ref="B90:C90"/>
    <mergeCell ref="F84:G84"/>
    <mergeCell ref="H84:I84"/>
    <mergeCell ref="D85:E85"/>
    <mergeCell ref="D86:E86"/>
    <mergeCell ref="D87:E87"/>
    <mergeCell ref="A84:C84"/>
    <mergeCell ref="A85:C85"/>
    <mergeCell ref="A86:C86"/>
    <mergeCell ref="A87:C87"/>
    <mergeCell ref="A88:C88"/>
    <mergeCell ref="A89:C89"/>
    <mergeCell ref="M53:N53"/>
    <mergeCell ref="M54:N54"/>
    <mergeCell ref="M59:N59"/>
    <mergeCell ref="M60:N60"/>
    <mergeCell ref="M61:N61"/>
    <mergeCell ref="M62:N62"/>
    <mergeCell ref="M63:N63"/>
    <mergeCell ref="M48:N48"/>
    <mergeCell ref="M49:N49"/>
    <mergeCell ref="M50:N50"/>
    <mergeCell ref="M51:N51"/>
    <mergeCell ref="M52:N52"/>
    <mergeCell ref="M55:N55"/>
    <mergeCell ref="M56:N56"/>
    <mergeCell ref="M57:N57"/>
    <mergeCell ref="M58:N58"/>
    <mergeCell ref="M18:N18"/>
    <mergeCell ref="M19:N19"/>
    <mergeCell ref="M20:N20"/>
    <mergeCell ref="M22:N22"/>
    <mergeCell ref="M23:N23"/>
    <mergeCell ref="M24:N24"/>
    <mergeCell ref="M25:N25"/>
    <mergeCell ref="M26:N26"/>
    <mergeCell ref="L7:L8"/>
    <mergeCell ref="M9:N9"/>
    <mergeCell ref="M10:N10"/>
    <mergeCell ref="M11:N11"/>
    <mergeCell ref="M12:N12"/>
    <mergeCell ref="M14:N14"/>
    <mergeCell ref="M15:N15"/>
    <mergeCell ref="M16:N16"/>
    <mergeCell ref="M17:N17"/>
    <mergeCell ref="A103:B103"/>
    <mergeCell ref="A96:B99"/>
    <mergeCell ref="M27:N27"/>
    <mergeCell ref="M28:N28"/>
    <mergeCell ref="M29:N29"/>
    <mergeCell ref="M76:N76"/>
    <mergeCell ref="M77:N77"/>
    <mergeCell ref="M78:N78"/>
    <mergeCell ref="M30:N30"/>
    <mergeCell ref="M31:N31"/>
    <mergeCell ref="M32:N32"/>
    <mergeCell ref="M33:N33"/>
    <mergeCell ref="M72:N72"/>
    <mergeCell ref="M73:N73"/>
    <mergeCell ref="M74:N74"/>
    <mergeCell ref="M75:N75"/>
    <mergeCell ref="M65:N65"/>
    <mergeCell ref="M66:N66"/>
    <mergeCell ref="M67:N67"/>
    <mergeCell ref="M68:N68"/>
    <mergeCell ref="M69:N69"/>
    <mergeCell ref="M70:N70"/>
    <mergeCell ref="M71:N71"/>
    <mergeCell ref="M64:N64"/>
  </mergeCells>
  <phoneticPr fontId="0" type="noConversion"/>
  <dataValidations xWindow="188" yWindow="606" count="17">
    <dataValidation type="whole" allowBlank="1" showInputMessage="1" showErrorMessage="1" sqref="R56" xr:uid="{9F5582B0-443D-4A5F-BC4E-D72531A74C4E}">
      <formula1>0</formula1>
      <formula2>750000</formula2>
    </dataValidation>
    <dataValidation allowBlank="1" showInputMessage="1" showErrorMessage="1" promptTitle="Bank Legal Fees" prompt="Enter all applicable bank legal fees for both construction and permanent financing. DO NOT INCLUDE SYNDICATION DUE DILIGENCE EXPENSES_x000a_" sqref="A68:B68 M68:N68" xr:uid="{48C27437-2617-4F61-9565-2AB80A3B65C9}"/>
    <dataValidation allowBlank="1" showInputMessage="1" showErrorMessage="1" promptTitle="Constr. Interest -Subsidy" prompt="Enter the  construction period  interest on all  subsidy loans " sqref="A62:B62 M62:N62" xr:uid="{37E51B0E-035A-42B2-BC4C-94067BD8A81B}"/>
    <dataValidation allowBlank="1" showInputMessage="1" showErrorMessage="1" promptTitle="Constr Interest Bank" prompt="Populates from Project Debt &amp; NOI tab" sqref="A61:B61 M61:N61" xr:uid="{E6BA3645-4C23-4AA6-8634-0027DCF9CD68}"/>
    <dataValidation type="list" allowBlank="1" showErrorMessage="1" promptTitle="LIHTC/SLIHC Application Fees" prompt="_x000a__x000a_" sqref="F50" xr:uid="{C707CC39-09C2-4BE0-B692-E2D4B5B28070}">
      <formula1>"3000 , 6000"</formula1>
    </dataValidation>
    <dataValidation allowBlank="1" showInputMessage="1" showErrorMessage="1" promptTitle="Hard cost contingency" prompt="5% maximum allowed for new construction projects , up to10% allowed for rehab  projects, and small non- tax credit projects" sqref="A32:B32 M32:N32" xr:uid="{3464A25B-9936-4A37-84EB-01B347A4B6E2}"/>
    <dataValidation allowBlank="1" showInputMessage="1" showErrorMessage="1" promptTitle="Operating Reserve" prompt="See instructions below for Operating Reserve capitalization requirements._x000a_" sqref="M74:N74" xr:uid="{C78FF9B8-8360-4DC1-B546-171ECA3AA7DC}"/>
    <dataValidation allowBlank="1" showInputMessage="1" showErrorMessage="1" promptTitle="Replacement Reserve Requirements" prompt="See instructions below for replacement reserve requirements." sqref="M75:N75" xr:uid="{5754BDD3-2C19-452D-8D03-E0AE11218725}"/>
    <dataValidation allowBlank="1" showErrorMessage="1" promptTitle="Operating Reserve" prompt="See instructions below for residential Operating Reserve capitalization requirements." sqref="F74" xr:uid="{EBE168A2-9AAD-45D7-ABFB-DB9C5B730B0D}"/>
    <dataValidation allowBlank="1" showErrorMessage="1" promptTitle="Replacement Reserve" sqref="F75" xr:uid="{FE1F9A46-9D76-47FA-BD56-6A4DAB7DAC5C}"/>
    <dataValidation allowBlank="1" showErrorMessage="1" promptTitle="Developer Allowance" prompt="Applies to non-tax credit projects only.  See directions below for formula." sqref="F44" xr:uid="{CC26936C-E078-4C1A-89D5-4B0884335D14}"/>
    <dataValidation allowBlank="1" showErrorMessage="1" promptTitle="Res Eligible Basis Amount" prompt="_x000a_" sqref="K35" xr:uid="{F3635F89-2D82-4324-8CFF-E550D1ECFFF6}"/>
    <dataValidation allowBlank="1" showInputMessage="1" showErrorMessage="1" promptTitle="CSF Eligible Basis Amount" prompt="Enter the amount of the budgeted cost that is includable in  eligible basis." sqref="L35 L7" xr:uid="{5DAE147B-3C7B-4A8A-BBB5-1E5AFE4A2623}"/>
    <dataValidation allowBlank="1" showErrorMessage="1" promptTitle="Soft Cost Contingency" prompt="_x000a_" sqref="D54:F54" xr:uid="{D2289014-64F2-4A1D-B195-E280A6A69181}"/>
    <dataValidation allowBlank="1" showErrorMessage="1" promptTitle="Res Eligible Basis Amount" sqref="K8" xr:uid="{C7AB22B0-D3E6-4922-9F17-2AF1A54E00F5}"/>
    <dataValidation allowBlank="1" showErrorMessage="1" promptTitle="Operating Reserve" prompt="_x000a_" sqref="A74:B75" xr:uid="{58DC1B82-DB16-4308-BAF6-FBC4401CA9EA}"/>
    <dataValidation type="whole" allowBlank="1" showErrorMessage="1" sqref="A3" xr:uid="{49BB7071-5E23-4DAD-A1CC-4F57B5377C2B}">
      <formula1>75000</formula1>
      <formula2>4000000</formula2>
    </dataValidation>
  </dataValidations>
  <pageMargins left="0.75" right="0.5" top="0.5" bottom="0.25" header="0.5" footer="0.5"/>
  <pageSetup scale="62" firstPageNumber="207" fitToHeight="2" orientation="landscape" useFirstPageNumber="1" r:id="rId9"/>
  <headerFooter alignWithMargins="0"/>
  <rowBreaks count="1" manualBreakCount="1">
    <brk id="33" max="11" man="1"/>
  </rowBreaks>
  <legacyDrawing r:id="rId1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96421-A85D-4BAE-AAD3-DCDBEBD99F92}">
  <sheetPr codeName="Sheet11"/>
  <dimension ref="A1:U362"/>
  <sheetViews>
    <sheetView zoomScaleNormal="100" zoomScaleSheetLayoutView="75" workbookViewId="0"/>
  </sheetViews>
  <sheetFormatPr defaultColWidth="8.6640625" defaultRowHeight="15.75"/>
  <cols>
    <col min="1" max="1" width="10.88671875" style="309" customWidth="1"/>
    <col min="2" max="2" width="24.6640625" style="309" customWidth="1"/>
    <col min="3" max="8" width="10.6640625" style="309" customWidth="1"/>
    <col min="9" max="9" width="18.6640625" style="309" customWidth="1"/>
    <col min="10" max="12" width="8.6640625" style="309"/>
    <col min="13" max="14" width="8.6640625" style="309" customWidth="1"/>
    <col min="15" max="15" width="4.88671875" style="309" customWidth="1"/>
    <col min="16" max="16" width="17.6640625" style="309" customWidth="1"/>
    <col min="17" max="20" width="8.6640625" style="309"/>
    <col min="21" max="21" width="10.5546875" style="309" bestFit="1" customWidth="1"/>
    <col min="22" max="26" width="8.6640625" style="309"/>
    <col min="27" max="27" width="17.33203125" style="309" bestFit="1" customWidth="1"/>
    <col min="28" max="255" width="8.6640625" style="309"/>
    <col min="256" max="256" width="9.109375" style="309" customWidth="1"/>
    <col min="257" max="257" width="13.6640625" style="309" customWidth="1"/>
    <col min="258" max="258" width="20.109375" style="309" customWidth="1"/>
    <col min="259" max="260" width="8.6640625" style="309"/>
    <col min="261" max="261" width="9.109375" style="309" customWidth="1"/>
    <col min="262" max="263" width="8.88671875" style="309" customWidth="1"/>
    <col min="264" max="264" width="9.109375" style="309" customWidth="1"/>
    <col min="265" max="265" width="16.33203125" style="309" bestFit="1" customWidth="1"/>
    <col min="266" max="511" width="8.6640625" style="309"/>
    <col min="512" max="512" width="9.109375" style="309" customWidth="1"/>
    <col min="513" max="513" width="13.6640625" style="309" customWidth="1"/>
    <col min="514" max="514" width="20.109375" style="309" customWidth="1"/>
    <col min="515" max="516" width="8.6640625" style="309"/>
    <col min="517" max="517" width="9.109375" style="309" customWidth="1"/>
    <col min="518" max="519" width="8.88671875" style="309" customWidth="1"/>
    <col min="520" max="520" width="9.109375" style="309" customWidth="1"/>
    <col min="521" max="521" width="16.33203125" style="309" bestFit="1" customWidth="1"/>
    <col min="522" max="767" width="8.6640625" style="309"/>
    <col min="768" max="768" width="9.109375" style="309" customWidth="1"/>
    <col min="769" max="769" width="13.6640625" style="309" customWidth="1"/>
    <col min="770" max="770" width="20.109375" style="309" customWidth="1"/>
    <col min="771" max="772" width="8.6640625" style="309"/>
    <col min="773" max="773" width="9.109375" style="309" customWidth="1"/>
    <col min="774" max="775" width="8.88671875" style="309" customWidth="1"/>
    <col min="776" max="776" width="9.109375" style="309" customWidth="1"/>
    <col min="777" max="777" width="16.33203125" style="309" bestFit="1" customWidth="1"/>
    <col min="778" max="1023" width="8.6640625" style="309"/>
    <col min="1024" max="1024" width="9.109375" style="309" customWidth="1"/>
    <col min="1025" max="1025" width="13.6640625" style="309" customWidth="1"/>
    <col min="1026" max="1026" width="20.109375" style="309" customWidth="1"/>
    <col min="1027" max="1028" width="8.6640625" style="309"/>
    <col min="1029" max="1029" width="9.109375" style="309" customWidth="1"/>
    <col min="1030" max="1031" width="8.88671875" style="309" customWidth="1"/>
    <col min="1032" max="1032" width="9.109375" style="309" customWidth="1"/>
    <col min="1033" max="1033" width="16.33203125" style="309" bestFit="1" customWidth="1"/>
    <col min="1034" max="1279" width="8.6640625" style="309"/>
    <col min="1280" max="1280" width="9.109375" style="309" customWidth="1"/>
    <col min="1281" max="1281" width="13.6640625" style="309" customWidth="1"/>
    <col min="1282" max="1282" width="20.109375" style="309" customWidth="1"/>
    <col min="1283" max="1284" width="8.6640625" style="309"/>
    <col min="1285" max="1285" width="9.109375" style="309" customWidth="1"/>
    <col min="1286" max="1287" width="8.88671875" style="309" customWidth="1"/>
    <col min="1288" max="1288" width="9.109375" style="309" customWidth="1"/>
    <col min="1289" max="1289" width="16.33203125" style="309" bestFit="1" customWidth="1"/>
    <col min="1290" max="1535" width="8.6640625" style="309"/>
    <col min="1536" max="1536" width="9.109375" style="309" customWidth="1"/>
    <col min="1537" max="1537" width="13.6640625" style="309" customWidth="1"/>
    <col min="1538" max="1538" width="20.109375" style="309" customWidth="1"/>
    <col min="1539" max="1540" width="8.6640625" style="309"/>
    <col min="1541" max="1541" width="9.109375" style="309" customWidth="1"/>
    <col min="1542" max="1543" width="8.88671875" style="309" customWidth="1"/>
    <col min="1544" max="1544" width="9.109375" style="309" customWidth="1"/>
    <col min="1545" max="1545" width="16.33203125" style="309" bestFit="1" customWidth="1"/>
    <col min="1546" max="1791" width="8.6640625" style="309"/>
    <col min="1792" max="1792" width="9.109375" style="309" customWidth="1"/>
    <col min="1793" max="1793" width="13.6640625" style="309" customWidth="1"/>
    <col min="1794" max="1794" width="20.109375" style="309" customWidth="1"/>
    <col min="1795" max="1796" width="8.6640625" style="309"/>
    <col min="1797" max="1797" width="9.109375" style="309" customWidth="1"/>
    <col min="1798" max="1799" width="8.88671875" style="309" customWidth="1"/>
    <col min="1800" max="1800" width="9.109375" style="309" customWidth="1"/>
    <col min="1801" max="1801" width="16.33203125" style="309" bestFit="1" customWidth="1"/>
    <col min="1802" max="2047" width="8.6640625" style="309"/>
    <col min="2048" max="2048" width="9.109375" style="309" customWidth="1"/>
    <col min="2049" max="2049" width="13.6640625" style="309" customWidth="1"/>
    <col min="2050" max="2050" width="20.109375" style="309" customWidth="1"/>
    <col min="2051" max="2052" width="8.6640625" style="309"/>
    <col min="2053" max="2053" width="9.109375" style="309" customWidth="1"/>
    <col min="2054" max="2055" width="8.88671875" style="309" customWidth="1"/>
    <col min="2056" max="2056" width="9.109375" style="309" customWidth="1"/>
    <col min="2057" max="2057" width="16.33203125" style="309" bestFit="1" customWidth="1"/>
    <col min="2058" max="2303" width="8.6640625" style="309"/>
    <col min="2304" max="2304" width="9.109375" style="309" customWidth="1"/>
    <col min="2305" max="2305" width="13.6640625" style="309" customWidth="1"/>
    <col min="2306" max="2306" width="20.109375" style="309" customWidth="1"/>
    <col min="2307" max="2308" width="8.6640625" style="309"/>
    <col min="2309" max="2309" width="9.109375" style="309" customWidth="1"/>
    <col min="2310" max="2311" width="8.88671875" style="309" customWidth="1"/>
    <col min="2312" max="2312" width="9.109375" style="309" customWidth="1"/>
    <col min="2313" max="2313" width="16.33203125" style="309" bestFit="1" customWidth="1"/>
    <col min="2314" max="2559" width="8.6640625" style="309"/>
    <col min="2560" max="2560" width="9.109375" style="309" customWidth="1"/>
    <col min="2561" max="2561" width="13.6640625" style="309" customWidth="1"/>
    <col min="2562" max="2562" width="20.109375" style="309" customWidth="1"/>
    <col min="2563" max="2564" width="8.6640625" style="309"/>
    <col min="2565" max="2565" width="9.109375" style="309" customWidth="1"/>
    <col min="2566" max="2567" width="8.88671875" style="309" customWidth="1"/>
    <col min="2568" max="2568" width="9.109375" style="309" customWidth="1"/>
    <col min="2569" max="2569" width="16.33203125" style="309" bestFit="1" customWidth="1"/>
    <col min="2570" max="2815" width="8.6640625" style="309"/>
    <col min="2816" max="2816" width="9.109375" style="309" customWidth="1"/>
    <col min="2817" max="2817" width="13.6640625" style="309" customWidth="1"/>
    <col min="2818" max="2818" width="20.109375" style="309" customWidth="1"/>
    <col min="2819" max="2820" width="8.6640625" style="309"/>
    <col min="2821" max="2821" width="9.109375" style="309" customWidth="1"/>
    <col min="2822" max="2823" width="8.88671875" style="309" customWidth="1"/>
    <col min="2824" max="2824" width="9.109375" style="309" customWidth="1"/>
    <col min="2825" max="2825" width="16.33203125" style="309" bestFit="1" customWidth="1"/>
    <col min="2826" max="3071" width="8.6640625" style="309"/>
    <col min="3072" max="3072" width="9.109375" style="309" customWidth="1"/>
    <col min="3073" max="3073" width="13.6640625" style="309" customWidth="1"/>
    <col min="3074" max="3074" width="20.109375" style="309" customWidth="1"/>
    <col min="3075" max="3076" width="8.6640625" style="309"/>
    <col min="3077" max="3077" width="9.109375" style="309" customWidth="1"/>
    <col min="3078" max="3079" width="8.88671875" style="309" customWidth="1"/>
    <col min="3080" max="3080" width="9.109375" style="309" customWidth="1"/>
    <col min="3081" max="3081" width="16.33203125" style="309" bestFit="1" customWidth="1"/>
    <col min="3082" max="3327" width="8.6640625" style="309"/>
    <col min="3328" max="3328" width="9.109375" style="309" customWidth="1"/>
    <col min="3329" max="3329" width="13.6640625" style="309" customWidth="1"/>
    <col min="3330" max="3330" width="20.109375" style="309" customWidth="1"/>
    <col min="3331" max="3332" width="8.6640625" style="309"/>
    <col min="3333" max="3333" width="9.109375" style="309" customWidth="1"/>
    <col min="3334" max="3335" width="8.88671875" style="309" customWidth="1"/>
    <col min="3336" max="3336" width="9.109375" style="309" customWidth="1"/>
    <col min="3337" max="3337" width="16.33203125" style="309" bestFit="1" customWidth="1"/>
    <col min="3338" max="3583" width="8.6640625" style="309"/>
    <col min="3584" max="3584" width="9.109375" style="309" customWidth="1"/>
    <col min="3585" max="3585" width="13.6640625" style="309" customWidth="1"/>
    <col min="3586" max="3586" width="20.109375" style="309" customWidth="1"/>
    <col min="3587" max="3588" width="8.6640625" style="309"/>
    <col min="3589" max="3589" width="9.109375" style="309" customWidth="1"/>
    <col min="3590" max="3591" width="8.88671875" style="309" customWidth="1"/>
    <col min="3592" max="3592" width="9.109375" style="309" customWidth="1"/>
    <col min="3593" max="3593" width="16.33203125" style="309" bestFit="1" customWidth="1"/>
    <col min="3594" max="3839" width="8.6640625" style="309"/>
    <col min="3840" max="3840" width="9.109375" style="309" customWidth="1"/>
    <col min="3841" max="3841" width="13.6640625" style="309" customWidth="1"/>
    <col min="3842" max="3842" width="20.109375" style="309" customWidth="1"/>
    <col min="3843" max="3844" width="8.6640625" style="309"/>
    <col min="3845" max="3845" width="9.109375" style="309" customWidth="1"/>
    <col min="3846" max="3847" width="8.88671875" style="309" customWidth="1"/>
    <col min="3848" max="3848" width="9.109375" style="309" customWidth="1"/>
    <col min="3849" max="3849" width="16.33203125" style="309" bestFit="1" customWidth="1"/>
    <col min="3850" max="4095" width="8.6640625" style="309"/>
    <col min="4096" max="4096" width="9.109375" style="309" customWidth="1"/>
    <col min="4097" max="4097" width="13.6640625" style="309" customWidth="1"/>
    <col min="4098" max="4098" width="20.109375" style="309" customWidth="1"/>
    <col min="4099" max="4100" width="8.6640625" style="309"/>
    <col min="4101" max="4101" width="9.109375" style="309" customWidth="1"/>
    <col min="4102" max="4103" width="8.88671875" style="309" customWidth="1"/>
    <col min="4104" max="4104" width="9.109375" style="309" customWidth="1"/>
    <col min="4105" max="4105" width="16.33203125" style="309" bestFit="1" customWidth="1"/>
    <col min="4106" max="4351" width="8.6640625" style="309"/>
    <col min="4352" max="4352" width="9.109375" style="309" customWidth="1"/>
    <col min="4353" max="4353" width="13.6640625" style="309" customWidth="1"/>
    <col min="4354" max="4354" width="20.109375" style="309" customWidth="1"/>
    <col min="4355" max="4356" width="8.6640625" style="309"/>
    <col min="4357" max="4357" width="9.109375" style="309" customWidth="1"/>
    <col min="4358" max="4359" width="8.88671875" style="309" customWidth="1"/>
    <col min="4360" max="4360" width="9.109375" style="309" customWidth="1"/>
    <col min="4361" max="4361" width="16.33203125" style="309" bestFit="1" customWidth="1"/>
    <col min="4362" max="4607" width="8.6640625" style="309"/>
    <col min="4608" max="4608" width="9.109375" style="309" customWidth="1"/>
    <col min="4609" max="4609" width="13.6640625" style="309" customWidth="1"/>
    <col min="4610" max="4610" width="20.109375" style="309" customWidth="1"/>
    <col min="4611" max="4612" width="8.6640625" style="309"/>
    <col min="4613" max="4613" width="9.109375" style="309" customWidth="1"/>
    <col min="4614" max="4615" width="8.88671875" style="309" customWidth="1"/>
    <col min="4616" max="4616" width="9.109375" style="309" customWidth="1"/>
    <col min="4617" max="4617" width="16.33203125" style="309" bestFit="1" customWidth="1"/>
    <col min="4618" max="4863" width="8.6640625" style="309"/>
    <col min="4864" max="4864" width="9.109375" style="309" customWidth="1"/>
    <col min="4865" max="4865" width="13.6640625" style="309" customWidth="1"/>
    <col min="4866" max="4866" width="20.109375" style="309" customWidth="1"/>
    <col min="4867" max="4868" width="8.6640625" style="309"/>
    <col min="4869" max="4869" width="9.109375" style="309" customWidth="1"/>
    <col min="4870" max="4871" width="8.88671875" style="309" customWidth="1"/>
    <col min="4872" max="4872" width="9.109375" style="309" customWidth="1"/>
    <col min="4873" max="4873" width="16.33203125" style="309" bestFit="1" customWidth="1"/>
    <col min="4874" max="5119" width="8.6640625" style="309"/>
    <col min="5120" max="5120" width="9.109375" style="309" customWidth="1"/>
    <col min="5121" max="5121" width="13.6640625" style="309" customWidth="1"/>
    <col min="5122" max="5122" width="20.109375" style="309" customWidth="1"/>
    <col min="5123" max="5124" width="8.6640625" style="309"/>
    <col min="5125" max="5125" width="9.109375" style="309" customWidth="1"/>
    <col min="5126" max="5127" width="8.88671875" style="309" customWidth="1"/>
    <col min="5128" max="5128" width="9.109375" style="309" customWidth="1"/>
    <col min="5129" max="5129" width="16.33203125" style="309" bestFit="1" customWidth="1"/>
    <col min="5130" max="5375" width="8.6640625" style="309"/>
    <col min="5376" max="5376" width="9.109375" style="309" customWidth="1"/>
    <col min="5377" max="5377" width="13.6640625" style="309" customWidth="1"/>
    <col min="5378" max="5378" width="20.109375" style="309" customWidth="1"/>
    <col min="5379" max="5380" width="8.6640625" style="309"/>
    <col min="5381" max="5381" width="9.109375" style="309" customWidth="1"/>
    <col min="5382" max="5383" width="8.88671875" style="309" customWidth="1"/>
    <col min="5384" max="5384" width="9.109375" style="309" customWidth="1"/>
    <col min="5385" max="5385" width="16.33203125" style="309" bestFit="1" customWidth="1"/>
    <col min="5386" max="5631" width="8.6640625" style="309"/>
    <col min="5632" max="5632" width="9.109375" style="309" customWidth="1"/>
    <col min="5633" max="5633" width="13.6640625" style="309" customWidth="1"/>
    <col min="5634" max="5634" width="20.109375" style="309" customWidth="1"/>
    <col min="5635" max="5636" width="8.6640625" style="309"/>
    <col min="5637" max="5637" width="9.109375" style="309" customWidth="1"/>
    <col min="5638" max="5639" width="8.88671875" style="309" customWidth="1"/>
    <col min="5640" max="5640" width="9.109375" style="309" customWidth="1"/>
    <col min="5641" max="5641" width="16.33203125" style="309" bestFit="1" customWidth="1"/>
    <col min="5642" max="5887" width="8.6640625" style="309"/>
    <col min="5888" max="5888" width="9.109375" style="309" customWidth="1"/>
    <col min="5889" max="5889" width="13.6640625" style="309" customWidth="1"/>
    <col min="5890" max="5890" width="20.109375" style="309" customWidth="1"/>
    <col min="5891" max="5892" width="8.6640625" style="309"/>
    <col min="5893" max="5893" width="9.109375" style="309" customWidth="1"/>
    <col min="5894" max="5895" width="8.88671875" style="309" customWidth="1"/>
    <col min="5896" max="5896" width="9.109375" style="309" customWidth="1"/>
    <col min="5897" max="5897" width="16.33203125" style="309" bestFit="1" customWidth="1"/>
    <col min="5898" max="6143" width="8.6640625" style="309"/>
    <col min="6144" max="6144" width="9.109375" style="309" customWidth="1"/>
    <col min="6145" max="6145" width="13.6640625" style="309" customWidth="1"/>
    <col min="6146" max="6146" width="20.109375" style="309" customWidth="1"/>
    <col min="6147" max="6148" width="8.6640625" style="309"/>
    <col min="6149" max="6149" width="9.109375" style="309" customWidth="1"/>
    <col min="6150" max="6151" width="8.88671875" style="309" customWidth="1"/>
    <col min="6152" max="6152" width="9.109375" style="309" customWidth="1"/>
    <col min="6153" max="6153" width="16.33203125" style="309" bestFit="1" customWidth="1"/>
    <col min="6154" max="6399" width="8.6640625" style="309"/>
    <col min="6400" max="6400" width="9.109375" style="309" customWidth="1"/>
    <col min="6401" max="6401" width="13.6640625" style="309" customWidth="1"/>
    <col min="6402" max="6402" width="20.109375" style="309" customWidth="1"/>
    <col min="6403" max="6404" width="8.6640625" style="309"/>
    <col min="6405" max="6405" width="9.109375" style="309" customWidth="1"/>
    <col min="6406" max="6407" width="8.88671875" style="309" customWidth="1"/>
    <col min="6408" max="6408" width="9.109375" style="309" customWidth="1"/>
    <col min="6409" max="6409" width="16.33203125" style="309" bestFit="1" customWidth="1"/>
    <col min="6410" max="6655" width="8.6640625" style="309"/>
    <col min="6656" max="6656" width="9.109375" style="309" customWidth="1"/>
    <col min="6657" max="6657" width="13.6640625" style="309" customWidth="1"/>
    <col min="6658" max="6658" width="20.109375" style="309" customWidth="1"/>
    <col min="6659" max="6660" width="8.6640625" style="309"/>
    <col min="6661" max="6661" width="9.109375" style="309" customWidth="1"/>
    <col min="6662" max="6663" width="8.88671875" style="309" customWidth="1"/>
    <col min="6664" max="6664" width="9.109375" style="309" customWidth="1"/>
    <col min="6665" max="6665" width="16.33203125" style="309" bestFit="1" customWidth="1"/>
    <col min="6666" max="6911" width="8.6640625" style="309"/>
    <col min="6912" max="6912" width="9.109375" style="309" customWidth="1"/>
    <col min="6913" max="6913" width="13.6640625" style="309" customWidth="1"/>
    <col min="6914" max="6914" width="20.109375" style="309" customWidth="1"/>
    <col min="6915" max="6916" width="8.6640625" style="309"/>
    <col min="6917" max="6917" width="9.109375" style="309" customWidth="1"/>
    <col min="6918" max="6919" width="8.88671875" style="309" customWidth="1"/>
    <col min="6920" max="6920" width="9.109375" style="309" customWidth="1"/>
    <col min="6921" max="6921" width="16.33203125" style="309" bestFit="1" customWidth="1"/>
    <col min="6922" max="7167" width="8.6640625" style="309"/>
    <col min="7168" max="7168" width="9.109375" style="309" customWidth="1"/>
    <col min="7169" max="7169" width="13.6640625" style="309" customWidth="1"/>
    <col min="7170" max="7170" width="20.109375" style="309" customWidth="1"/>
    <col min="7171" max="7172" width="8.6640625" style="309"/>
    <col min="7173" max="7173" width="9.109375" style="309" customWidth="1"/>
    <col min="7174" max="7175" width="8.88671875" style="309" customWidth="1"/>
    <col min="7176" max="7176" width="9.109375" style="309" customWidth="1"/>
    <col min="7177" max="7177" width="16.33203125" style="309" bestFit="1" customWidth="1"/>
    <col min="7178" max="7423" width="8.6640625" style="309"/>
    <col min="7424" max="7424" width="9.109375" style="309" customWidth="1"/>
    <col min="7425" max="7425" width="13.6640625" style="309" customWidth="1"/>
    <col min="7426" max="7426" width="20.109375" style="309" customWidth="1"/>
    <col min="7427" max="7428" width="8.6640625" style="309"/>
    <col min="7429" max="7429" width="9.109375" style="309" customWidth="1"/>
    <col min="7430" max="7431" width="8.88671875" style="309" customWidth="1"/>
    <col min="7432" max="7432" width="9.109375" style="309" customWidth="1"/>
    <col min="7433" max="7433" width="16.33203125" style="309" bestFit="1" customWidth="1"/>
    <col min="7434" max="7679" width="8.6640625" style="309"/>
    <col min="7680" max="7680" width="9.109375" style="309" customWidth="1"/>
    <col min="7681" max="7681" width="13.6640625" style="309" customWidth="1"/>
    <col min="7682" max="7682" width="20.109375" style="309" customWidth="1"/>
    <col min="7683" max="7684" width="8.6640625" style="309"/>
    <col min="7685" max="7685" width="9.109375" style="309" customWidth="1"/>
    <col min="7686" max="7687" width="8.88671875" style="309" customWidth="1"/>
    <col min="7688" max="7688" width="9.109375" style="309" customWidth="1"/>
    <col min="7689" max="7689" width="16.33203125" style="309" bestFit="1" customWidth="1"/>
    <col min="7690" max="7935" width="8.6640625" style="309"/>
    <col min="7936" max="7936" width="9.109375" style="309" customWidth="1"/>
    <col min="7937" max="7937" width="13.6640625" style="309" customWidth="1"/>
    <col min="7938" max="7938" width="20.109375" style="309" customWidth="1"/>
    <col min="7939" max="7940" width="8.6640625" style="309"/>
    <col min="7941" max="7941" width="9.109375" style="309" customWidth="1"/>
    <col min="7942" max="7943" width="8.88671875" style="309" customWidth="1"/>
    <col min="7944" max="7944" width="9.109375" style="309" customWidth="1"/>
    <col min="7945" max="7945" width="16.33203125" style="309" bestFit="1" customWidth="1"/>
    <col min="7946" max="8191" width="8.6640625" style="309"/>
    <col min="8192" max="8192" width="9.109375" style="309" customWidth="1"/>
    <col min="8193" max="8193" width="13.6640625" style="309" customWidth="1"/>
    <col min="8194" max="8194" width="20.109375" style="309" customWidth="1"/>
    <col min="8195" max="8196" width="8.6640625" style="309"/>
    <col min="8197" max="8197" width="9.109375" style="309" customWidth="1"/>
    <col min="8198" max="8199" width="8.88671875" style="309" customWidth="1"/>
    <col min="8200" max="8200" width="9.109375" style="309" customWidth="1"/>
    <col min="8201" max="8201" width="16.33203125" style="309" bestFit="1" customWidth="1"/>
    <col min="8202" max="8447" width="8.6640625" style="309"/>
    <col min="8448" max="8448" width="9.109375" style="309" customWidth="1"/>
    <col min="8449" max="8449" width="13.6640625" style="309" customWidth="1"/>
    <col min="8450" max="8450" width="20.109375" style="309" customWidth="1"/>
    <col min="8451" max="8452" width="8.6640625" style="309"/>
    <col min="8453" max="8453" width="9.109375" style="309" customWidth="1"/>
    <col min="8454" max="8455" width="8.88671875" style="309" customWidth="1"/>
    <col min="8456" max="8456" width="9.109375" style="309" customWidth="1"/>
    <col min="8457" max="8457" width="16.33203125" style="309" bestFit="1" customWidth="1"/>
    <col min="8458" max="8703" width="8.6640625" style="309"/>
    <col min="8704" max="8704" width="9.109375" style="309" customWidth="1"/>
    <col min="8705" max="8705" width="13.6640625" style="309" customWidth="1"/>
    <col min="8706" max="8706" width="20.109375" style="309" customWidth="1"/>
    <col min="8707" max="8708" width="8.6640625" style="309"/>
    <col min="8709" max="8709" width="9.109375" style="309" customWidth="1"/>
    <col min="8710" max="8711" width="8.88671875" style="309" customWidth="1"/>
    <col min="8712" max="8712" width="9.109375" style="309" customWidth="1"/>
    <col min="8713" max="8713" width="16.33203125" style="309" bestFit="1" customWidth="1"/>
    <col min="8714" max="8959" width="8.6640625" style="309"/>
    <col min="8960" max="8960" width="9.109375" style="309" customWidth="1"/>
    <col min="8961" max="8961" width="13.6640625" style="309" customWidth="1"/>
    <col min="8962" max="8962" width="20.109375" style="309" customWidth="1"/>
    <col min="8963" max="8964" width="8.6640625" style="309"/>
    <col min="8965" max="8965" width="9.109375" style="309" customWidth="1"/>
    <col min="8966" max="8967" width="8.88671875" style="309" customWidth="1"/>
    <col min="8968" max="8968" width="9.109375" style="309" customWidth="1"/>
    <col min="8969" max="8969" width="16.33203125" style="309" bestFit="1" customWidth="1"/>
    <col min="8970" max="9215" width="8.6640625" style="309"/>
    <col min="9216" max="9216" width="9.109375" style="309" customWidth="1"/>
    <col min="9217" max="9217" width="13.6640625" style="309" customWidth="1"/>
    <col min="9218" max="9218" width="20.109375" style="309" customWidth="1"/>
    <col min="9219" max="9220" width="8.6640625" style="309"/>
    <col min="9221" max="9221" width="9.109375" style="309" customWidth="1"/>
    <col min="9222" max="9223" width="8.88671875" style="309" customWidth="1"/>
    <col min="9224" max="9224" width="9.109375" style="309" customWidth="1"/>
    <col min="9225" max="9225" width="16.33203125" style="309" bestFit="1" customWidth="1"/>
    <col min="9226" max="9471" width="8.6640625" style="309"/>
    <col min="9472" max="9472" width="9.109375" style="309" customWidth="1"/>
    <col min="9473" max="9473" width="13.6640625" style="309" customWidth="1"/>
    <col min="9474" max="9474" width="20.109375" style="309" customWidth="1"/>
    <col min="9475" max="9476" width="8.6640625" style="309"/>
    <col min="9477" max="9477" width="9.109375" style="309" customWidth="1"/>
    <col min="9478" max="9479" width="8.88671875" style="309" customWidth="1"/>
    <col min="9480" max="9480" width="9.109375" style="309" customWidth="1"/>
    <col min="9481" max="9481" width="16.33203125" style="309" bestFit="1" customWidth="1"/>
    <col min="9482" max="9727" width="8.6640625" style="309"/>
    <col min="9728" max="9728" width="9.109375" style="309" customWidth="1"/>
    <col min="9729" max="9729" width="13.6640625" style="309" customWidth="1"/>
    <col min="9730" max="9730" width="20.109375" style="309" customWidth="1"/>
    <col min="9731" max="9732" width="8.6640625" style="309"/>
    <col min="9733" max="9733" width="9.109375" style="309" customWidth="1"/>
    <col min="9734" max="9735" width="8.88671875" style="309" customWidth="1"/>
    <col min="9736" max="9736" width="9.109375" style="309" customWidth="1"/>
    <col min="9737" max="9737" width="16.33203125" style="309" bestFit="1" customWidth="1"/>
    <col min="9738" max="9983" width="8.6640625" style="309"/>
    <col min="9984" max="9984" width="9.109375" style="309" customWidth="1"/>
    <col min="9985" max="9985" width="13.6640625" style="309" customWidth="1"/>
    <col min="9986" max="9986" width="20.109375" style="309" customWidth="1"/>
    <col min="9987" max="9988" width="8.6640625" style="309"/>
    <col min="9989" max="9989" width="9.109375" style="309" customWidth="1"/>
    <col min="9990" max="9991" width="8.88671875" style="309" customWidth="1"/>
    <col min="9992" max="9992" width="9.109375" style="309" customWidth="1"/>
    <col min="9993" max="9993" width="16.33203125" style="309" bestFit="1" customWidth="1"/>
    <col min="9994" max="10239" width="8.6640625" style="309"/>
    <col min="10240" max="10240" width="9.109375" style="309" customWidth="1"/>
    <col min="10241" max="10241" width="13.6640625" style="309" customWidth="1"/>
    <col min="10242" max="10242" width="20.109375" style="309" customWidth="1"/>
    <col min="10243" max="10244" width="8.6640625" style="309"/>
    <col min="10245" max="10245" width="9.109375" style="309" customWidth="1"/>
    <col min="10246" max="10247" width="8.88671875" style="309" customWidth="1"/>
    <col min="10248" max="10248" width="9.109375" style="309" customWidth="1"/>
    <col min="10249" max="10249" width="16.33203125" style="309" bestFit="1" customWidth="1"/>
    <col min="10250" max="10495" width="8.6640625" style="309"/>
    <col min="10496" max="10496" width="9.109375" style="309" customWidth="1"/>
    <col min="10497" max="10497" width="13.6640625" style="309" customWidth="1"/>
    <col min="10498" max="10498" width="20.109375" style="309" customWidth="1"/>
    <col min="10499" max="10500" width="8.6640625" style="309"/>
    <col min="10501" max="10501" width="9.109375" style="309" customWidth="1"/>
    <col min="10502" max="10503" width="8.88671875" style="309" customWidth="1"/>
    <col min="10504" max="10504" width="9.109375" style="309" customWidth="1"/>
    <col min="10505" max="10505" width="16.33203125" style="309" bestFit="1" customWidth="1"/>
    <col min="10506" max="10751" width="8.6640625" style="309"/>
    <col min="10752" max="10752" width="9.109375" style="309" customWidth="1"/>
    <col min="10753" max="10753" width="13.6640625" style="309" customWidth="1"/>
    <col min="10754" max="10754" width="20.109375" style="309" customWidth="1"/>
    <col min="10755" max="10756" width="8.6640625" style="309"/>
    <col min="10757" max="10757" width="9.109375" style="309" customWidth="1"/>
    <col min="10758" max="10759" width="8.88671875" style="309" customWidth="1"/>
    <col min="10760" max="10760" width="9.109375" style="309" customWidth="1"/>
    <col min="10761" max="10761" width="16.33203125" style="309" bestFit="1" customWidth="1"/>
    <col min="10762" max="11007" width="8.6640625" style="309"/>
    <col min="11008" max="11008" width="9.109375" style="309" customWidth="1"/>
    <col min="11009" max="11009" width="13.6640625" style="309" customWidth="1"/>
    <col min="11010" max="11010" width="20.109375" style="309" customWidth="1"/>
    <col min="11011" max="11012" width="8.6640625" style="309"/>
    <col min="11013" max="11013" width="9.109375" style="309" customWidth="1"/>
    <col min="11014" max="11015" width="8.88671875" style="309" customWidth="1"/>
    <col min="11016" max="11016" width="9.109375" style="309" customWidth="1"/>
    <col min="11017" max="11017" width="16.33203125" style="309" bestFit="1" customWidth="1"/>
    <col min="11018" max="11263" width="8.6640625" style="309"/>
    <col min="11264" max="11264" width="9.109375" style="309" customWidth="1"/>
    <col min="11265" max="11265" width="13.6640625" style="309" customWidth="1"/>
    <col min="11266" max="11266" width="20.109375" style="309" customWidth="1"/>
    <col min="11267" max="11268" width="8.6640625" style="309"/>
    <col min="11269" max="11269" width="9.109375" style="309" customWidth="1"/>
    <col min="11270" max="11271" width="8.88671875" style="309" customWidth="1"/>
    <col min="11272" max="11272" width="9.109375" style="309" customWidth="1"/>
    <col min="11273" max="11273" width="16.33203125" style="309" bestFit="1" customWidth="1"/>
    <col min="11274" max="11519" width="8.6640625" style="309"/>
    <col min="11520" max="11520" width="9.109375" style="309" customWidth="1"/>
    <col min="11521" max="11521" width="13.6640625" style="309" customWidth="1"/>
    <col min="11522" max="11522" width="20.109375" style="309" customWidth="1"/>
    <col min="11523" max="11524" width="8.6640625" style="309"/>
    <col min="11525" max="11525" width="9.109375" style="309" customWidth="1"/>
    <col min="11526" max="11527" width="8.88671875" style="309" customWidth="1"/>
    <col min="11528" max="11528" width="9.109375" style="309" customWidth="1"/>
    <col min="11529" max="11529" width="16.33203125" style="309" bestFit="1" customWidth="1"/>
    <col min="11530" max="11775" width="8.6640625" style="309"/>
    <col min="11776" max="11776" width="9.109375" style="309" customWidth="1"/>
    <col min="11777" max="11777" width="13.6640625" style="309" customWidth="1"/>
    <col min="11778" max="11778" width="20.109375" style="309" customWidth="1"/>
    <col min="11779" max="11780" width="8.6640625" style="309"/>
    <col min="11781" max="11781" width="9.109375" style="309" customWidth="1"/>
    <col min="11782" max="11783" width="8.88671875" style="309" customWidth="1"/>
    <col min="11784" max="11784" width="9.109375" style="309" customWidth="1"/>
    <col min="11785" max="11785" width="16.33203125" style="309" bestFit="1" customWidth="1"/>
    <col min="11786" max="12031" width="8.6640625" style="309"/>
    <col min="12032" max="12032" width="9.109375" style="309" customWidth="1"/>
    <col min="12033" max="12033" width="13.6640625" style="309" customWidth="1"/>
    <col min="12034" max="12034" width="20.109375" style="309" customWidth="1"/>
    <col min="12035" max="12036" width="8.6640625" style="309"/>
    <col min="12037" max="12037" width="9.109375" style="309" customWidth="1"/>
    <col min="12038" max="12039" width="8.88671875" style="309" customWidth="1"/>
    <col min="12040" max="12040" width="9.109375" style="309" customWidth="1"/>
    <col min="12041" max="12041" width="16.33203125" style="309" bestFit="1" customWidth="1"/>
    <col min="12042" max="12287" width="8.6640625" style="309"/>
    <col min="12288" max="12288" width="9.109375" style="309" customWidth="1"/>
    <col min="12289" max="12289" width="13.6640625" style="309" customWidth="1"/>
    <col min="12290" max="12290" width="20.109375" style="309" customWidth="1"/>
    <col min="12291" max="12292" width="8.6640625" style="309"/>
    <col min="12293" max="12293" width="9.109375" style="309" customWidth="1"/>
    <col min="12294" max="12295" width="8.88671875" style="309" customWidth="1"/>
    <col min="12296" max="12296" width="9.109375" style="309" customWidth="1"/>
    <col min="12297" max="12297" width="16.33203125" style="309" bestFit="1" customWidth="1"/>
    <col min="12298" max="12543" width="8.6640625" style="309"/>
    <col min="12544" max="12544" width="9.109375" style="309" customWidth="1"/>
    <col min="12545" max="12545" width="13.6640625" style="309" customWidth="1"/>
    <col min="12546" max="12546" width="20.109375" style="309" customWidth="1"/>
    <col min="12547" max="12548" width="8.6640625" style="309"/>
    <col min="12549" max="12549" width="9.109375" style="309" customWidth="1"/>
    <col min="12550" max="12551" width="8.88671875" style="309" customWidth="1"/>
    <col min="12552" max="12552" width="9.109375" style="309" customWidth="1"/>
    <col min="12553" max="12553" width="16.33203125" style="309" bestFit="1" customWidth="1"/>
    <col min="12554" max="12799" width="8.6640625" style="309"/>
    <col min="12800" max="12800" width="9.109375" style="309" customWidth="1"/>
    <col min="12801" max="12801" width="13.6640625" style="309" customWidth="1"/>
    <col min="12802" max="12802" width="20.109375" style="309" customWidth="1"/>
    <col min="12803" max="12804" width="8.6640625" style="309"/>
    <col min="12805" max="12805" width="9.109375" style="309" customWidth="1"/>
    <col min="12806" max="12807" width="8.88671875" style="309" customWidth="1"/>
    <col min="12808" max="12808" width="9.109375" style="309" customWidth="1"/>
    <col min="12809" max="12809" width="16.33203125" style="309" bestFit="1" customWidth="1"/>
    <col min="12810" max="13055" width="8.6640625" style="309"/>
    <col min="13056" max="13056" width="9.109375" style="309" customWidth="1"/>
    <col min="13057" max="13057" width="13.6640625" style="309" customWidth="1"/>
    <col min="13058" max="13058" width="20.109375" style="309" customWidth="1"/>
    <col min="13059" max="13060" width="8.6640625" style="309"/>
    <col min="13061" max="13061" width="9.109375" style="309" customWidth="1"/>
    <col min="13062" max="13063" width="8.88671875" style="309" customWidth="1"/>
    <col min="13064" max="13064" width="9.109375" style="309" customWidth="1"/>
    <col min="13065" max="13065" width="16.33203125" style="309" bestFit="1" customWidth="1"/>
    <col min="13066" max="13311" width="8.6640625" style="309"/>
    <col min="13312" max="13312" width="9.109375" style="309" customWidth="1"/>
    <col min="13313" max="13313" width="13.6640625" style="309" customWidth="1"/>
    <col min="13314" max="13314" width="20.109375" style="309" customWidth="1"/>
    <col min="13315" max="13316" width="8.6640625" style="309"/>
    <col min="13317" max="13317" width="9.109375" style="309" customWidth="1"/>
    <col min="13318" max="13319" width="8.88671875" style="309" customWidth="1"/>
    <col min="13320" max="13320" width="9.109375" style="309" customWidth="1"/>
    <col min="13321" max="13321" width="16.33203125" style="309" bestFit="1" customWidth="1"/>
    <col min="13322" max="13567" width="8.6640625" style="309"/>
    <col min="13568" max="13568" width="9.109375" style="309" customWidth="1"/>
    <col min="13569" max="13569" width="13.6640625" style="309" customWidth="1"/>
    <col min="13570" max="13570" width="20.109375" style="309" customWidth="1"/>
    <col min="13571" max="13572" width="8.6640625" style="309"/>
    <col min="13573" max="13573" width="9.109375" style="309" customWidth="1"/>
    <col min="13574" max="13575" width="8.88671875" style="309" customWidth="1"/>
    <col min="13576" max="13576" width="9.109375" style="309" customWidth="1"/>
    <col min="13577" max="13577" width="16.33203125" style="309" bestFit="1" customWidth="1"/>
    <col min="13578" max="13823" width="8.6640625" style="309"/>
    <col min="13824" max="13824" width="9.109375" style="309" customWidth="1"/>
    <col min="13825" max="13825" width="13.6640625" style="309" customWidth="1"/>
    <col min="13826" max="13826" width="20.109375" style="309" customWidth="1"/>
    <col min="13827" max="13828" width="8.6640625" style="309"/>
    <col min="13829" max="13829" width="9.109375" style="309" customWidth="1"/>
    <col min="13830" max="13831" width="8.88671875" style="309" customWidth="1"/>
    <col min="13832" max="13832" width="9.109375" style="309" customWidth="1"/>
    <col min="13833" max="13833" width="16.33203125" style="309" bestFit="1" customWidth="1"/>
    <col min="13834" max="14079" width="8.6640625" style="309"/>
    <col min="14080" max="14080" width="9.109375" style="309" customWidth="1"/>
    <col min="14081" max="14081" width="13.6640625" style="309" customWidth="1"/>
    <col min="14082" max="14082" width="20.109375" style="309" customWidth="1"/>
    <col min="14083" max="14084" width="8.6640625" style="309"/>
    <col min="14085" max="14085" width="9.109375" style="309" customWidth="1"/>
    <col min="14086" max="14087" width="8.88671875" style="309" customWidth="1"/>
    <col min="14088" max="14088" width="9.109375" style="309" customWidth="1"/>
    <col min="14089" max="14089" width="16.33203125" style="309" bestFit="1" customWidth="1"/>
    <col min="14090" max="14335" width="8.6640625" style="309"/>
    <col min="14336" max="14336" width="9.109375" style="309" customWidth="1"/>
    <col min="14337" max="14337" width="13.6640625" style="309" customWidth="1"/>
    <col min="14338" max="14338" width="20.109375" style="309" customWidth="1"/>
    <col min="14339" max="14340" width="8.6640625" style="309"/>
    <col min="14341" max="14341" width="9.109375" style="309" customWidth="1"/>
    <col min="14342" max="14343" width="8.88671875" style="309" customWidth="1"/>
    <col min="14344" max="14344" width="9.109375" style="309" customWidth="1"/>
    <col min="14345" max="14345" width="16.33203125" style="309" bestFit="1" customWidth="1"/>
    <col min="14346" max="14591" width="8.6640625" style="309"/>
    <col min="14592" max="14592" width="9.109375" style="309" customWidth="1"/>
    <col min="14593" max="14593" width="13.6640625" style="309" customWidth="1"/>
    <col min="14594" max="14594" width="20.109375" style="309" customWidth="1"/>
    <col min="14595" max="14596" width="8.6640625" style="309"/>
    <col min="14597" max="14597" width="9.109375" style="309" customWidth="1"/>
    <col min="14598" max="14599" width="8.88671875" style="309" customWidth="1"/>
    <col min="14600" max="14600" width="9.109375" style="309" customWidth="1"/>
    <col min="14601" max="14601" width="16.33203125" style="309" bestFit="1" customWidth="1"/>
    <col min="14602" max="14847" width="8.6640625" style="309"/>
    <col min="14848" max="14848" width="9.109375" style="309" customWidth="1"/>
    <col min="14849" max="14849" width="13.6640625" style="309" customWidth="1"/>
    <col min="14850" max="14850" width="20.109375" style="309" customWidth="1"/>
    <col min="14851" max="14852" width="8.6640625" style="309"/>
    <col min="14853" max="14853" width="9.109375" style="309" customWidth="1"/>
    <col min="14854" max="14855" width="8.88671875" style="309" customWidth="1"/>
    <col min="14856" max="14856" width="9.109375" style="309" customWidth="1"/>
    <col min="14857" max="14857" width="16.33203125" style="309" bestFit="1" customWidth="1"/>
    <col min="14858" max="15103" width="8.6640625" style="309"/>
    <col min="15104" max="15104" width="9.109375" style="309" customWidth="1"/>
    <col min="15105" max="15105" width="13.6640625" style="309" customWidth="1"/>
    <col min="15106" max="15106" width="20.109375" style="309" customWidth="1"/>
    <col min="15107" max="15108" width="8.6640625" style="309"/>
    <col min="15109" max="15109" width="9.109375" style="309" customWidth="1"/>
    <col min="15110" max="15111" width="8.88671875" style="309" customWidth="1"/>
    <col min="15112" max="15112" width="9.109375" style="309" customWidth="1"/>
    <col min="15113" max="15113" width="16.33203125" style="309" bestFit="1" customWidth="1"/>
    <col min="15114" max="15359" width="8.6640625" style="309"/>
    <col min="15360" max="15360" width="9.109375" style="309" customWidth="1"/>
    <col min="15361" max="15361" width="13.6640625" style="309" customWidth="1"/>
    <col min="15362" max="15362" width="20.109375" style="309" customWidth="1"/>
    <col min="15363" max="15364" width="8.6640625" style="309"/>
    <col min="15365" max="15365" width="9.109375" style="309" customWidth="1"/>
    <col min="15366" max="15367" width="8.88671875" style="309" customWidth="1"/>
    <col min="15368" max="15368" width="9.109375" style="309" customWidth="1"/>
    <col min="15369" max="15369" width="16.33203125" style="309" bestFit="1" customWidth="1"/>
    <col min="15370" max="15615" width="8.6640625" style="309"/>
    <col min="15616" max="15616" width="9.109375" style="309" customWidth="1"/>
    <col min="15617" max="15617" width="13.6640625" style="309" customWidth="1"/>
    <col min="15618" max="15618" width="20.109375" style="309" customWidth="1"/>
    <col min="15619" max="15620" width="8.6640625" style="309"/>
    <col min="15621" max="15621" width="9.109375" style="309" customWidth="1"/>
    <col min="15622" max="15623" width="8.88671875" style="309" customWidth="1"/>
    <col min="15624" max="15624" width="9.109375" style="309" customWidth="1"/>
    <col min="15625" max="15625" width="16.33203125" style="309" bestFit="1" customWidth="1"/>
    <col min="15626" max="15871" width="8.6640625" style="309"/>
    <col min="15872" max="15872" width="9.109375" style="309" customWidth="1"/>
    <col min="15873" max="15873" width="13.6640625" style="309" customWidth="1"/>
    <col min="15874" max="15874" width="20.109375" style="309" customWidth="1"/>
    <col min="15875" max="15876" width="8.6640625" style="309"/>
    <col min="15877" max="15877" width="9.109375" style="309" customWidth="1"/>
    <col min="15878" max="15879" width="8.88671875" style="309" customWidth="1"/>
    <col min="15880" max="15880" width="9.109375" style="309" customWidth="1"/>
    <col min="15881" max="15881" width="16.33203125" style="309" bestFit="1" customWidth="1"/>
    <col min="15882" max="16127" width="8.6640625" style="309"/>
    <col min="16128" max="16128" width="9.109375" style="309" customWidth="1"/>
    <col min="16129" max="16129" width="13.6640625" style="309" customWidth="1"/>
    <col min="16130" max="16130" width="20.109375" style="309" customWidth="1"/>
    <col min="16131" max="16132" width="8.6640625" style="309"/>
    <col min="16133" max="16133" width="9.109375" style="309" customWidth="1"/>
    <col min="16134" max="16135" width="8.88671875" style="309" customWidth="1"/>
    <col min="16136" max="16136" width="9.109375" style="309" customWidth="1"/>
    <col min="16137" max="16137" width="16.33203125" style="309" bestFit="1" customWidth="1"/>
    <col min="16138" max="16383" width="8.6640625" style="309"/>
    <col min="16384" max="16384" width="7.6640625" style="309" customWidth="1"/>
  </cols>
  <sheetData>
    <row r="1" spans="1:20">
      <c r="A1" s="635"/>
      <c r="B1" s="620"/>
      <c r="C1" s="620"/>
      <c r="D1" s="1665" t="s">
        <v>487</v>
      </c>
      <c r="E1" s="1666"/>
      <c r="F1" s="620"/>
      <c r="G1" s="620"/>
      <c r="H1" s="620"/>
      <c r="I1" s="620"/>
      <c r="P1" s="349"/>
      <c r="S1" s="370"/>
      <c r="T1" s="8"/>
    </row>
    <row r="2" spans="1:20">
      <c r="A2" s="8"/>
      <c r="B2" s="8"/>
      <c r="C2" s="8"/>
      <c r="D2" s="8"/>
      <c r="E2" s="8"/>
      <c r="F2" s="8"/>
      <c r="G2" s="8"/>
      <c r="H2" s="8"/>
      <c r="I2" s="8"/>
      <c r="P2" s="349"/>
      <c r="S2" s="370"/>
      <c r="T2" s="8"/>
    </row>
    <row r="3" spans="1:20">
      <c r="A3" s="8"/>
      <c r="B3" s="596" t="str">
        <f>'Sources and Uses'!A2</f>
        <v>Project Name:</v>
      </c>
      <c r="C3" s="1747">
        <f>'Sources and Uses'!B2</f>
        <v>0</v>
      </c>
      <c r="D3" s="1644"/>
      <c r="E3" s="1644"/>
      <c r="F3" s="1644"/>
      <c r="G3" s="1645"/>
      <c r="H3" s="127"/>
      <c r="I3" s="8"/>
      <c r="S3" s="370"/>
      <c r="T3" s="8"/>
    </row>
    <row r="4" spans="1:20">
      <c r="A4" s="8"/>
      <c r="B4" s="60"/>
      <c r="C4" s="636"/>
      <c r="D4" s="8"/>
      <c r="E4" s="8"/>
      <c r="F4" s="8"/>
      <c r="G4" s="315"/>
      <c r="H4" s="316"/>
      <c r="I4" s="317"/>
      <c r="O4" s="371" t="s">
        <v>492</v>
      </c>
      <c r="S4" s="370"/>
      <c r="T4" s="8"/>
    </row>
    <row r="5" spans="1:20">
      <c r="A5" s="222"/>
      <c r="C5" s="423"/>
      <c r="E5" s="318" t="s">
        <v>657</v>
      </c>
      <c r="F5" s="8"/>
      <c r="G5" s="8"/>
      <c r="H5" s="8"/>
      <c r="I5" s="8"/>
      <c r="S5" s="370"/>
      <c r="T5" s="8"/>
    </row>
    <row r="6" spans="1:20">
      <c r="A6" s="222"/>
      <c r="C6" s="736"/>
      <c r="E6" s="318"/>
      <c r="F6" s="737"/>
      <c r="G6" s="737"/>
      <c r="H6" s="737"/>
      <c r="I6" s="737"/>
      <c r="S6" s="370"/>
      <c r="T6" s="737"/>
    </row>
    <row r="7" spans="1:20">
      <c r="A7" s="222"/>
      <c r="C7" s="423"/>
      <c r="D7" s="1667" t="s">
        <v>493</v>
      </c>
      <c r="E7" s="1471"/>
      <c r="F7" s="424"/>
      <c r="G7" s="424"/>
      <c r="H7" s="424"/>
      <c r="I7" s="424"/>
      <c r="S7" s="370"/>
      <c r="T7" s="424"/>
    </row>
    <row r="8" spans="1:20">
      <c r="B8" s="8"/>
      <c r="C8" s="8"/>
      <c r="E8" s="321" t="s">
        <v>494</v>
      </c>
      <c r="F8" s="1686"/>
      <c r="G8" s="1687"/>
      <c r="H8" s="8"/>
      <c r="I8" s="8"/>
      <c r="P8" s="8"/>
      <c r="Q8" s="8"/>
      <c r="R8" s="8"/>
      <c r="S8" s="8"/>
      <c r="T8" s="8"/>
    </row>
    <row r="9" spans="1:20" ht="15.6" customHeight="1">
      <c r="A9" s="8" t="s">
        <v>650</v>
      </c>
      <c r="B9" s="8"/>
      <c r="C9" s="8"/>
      <c r="D9" s="8"/>
      <c r="E9" s="8"/>
      <c r="F9" s="323"/>
      <c r="H9" s="322"/>
      <c r="I9" s="63"/>
      <c r="P9" s="8"/>
      <c r="Q9" s="8"/>
      <c r="R9" s="8"/>
      <c r="S9" s="8"/>
      <c r="T9" s="8"/>
    </row>
    <row r="10" spans="1:20" ht="15.6" customHeight="1">
      <c r="A10" s="8" t="s">
        <v>651</v>
      </c>
      <c r="B10" s="8"/>
      <c r="C10" s="8"/>
      <c r="D10" s="8"/>
      <c r="E10" s="8"/>
      <c r="F10" s="365">
        <f>+'Units &amp; Income'!$C$16</f>
        <v>0</v>
      </c>
      <c r="G10" s="224"/>
      <c r="H10" s="224"/>
      <c r="P10" s="8"/>
      <c r="Q10" s="8"/>
      <c r="R10" s="8"/>
      <c r="S10" s="8"/>
      <c r="T10" s="8"/>
    </row>
    <row r="11" spans="1:20" ht="15.6" customHeight="1">
      <c r="A11" s="8" t="s">
        <v>652</v>
      </c>
      <c r="B11" s="8"/>
      <c r="C11" s="8"/>
      <c r="D11" s="8"/>
      <c r="E11" s="8"/>
      <c r="F11" s="324"/>
      <c r="G11" s="224"/>
      <c r="H11" s="224"/>
      <c r="I11" s="224"/>
      <c r="P11" s="8"/>
      <c r="Q11" s="8"/>
      <c r="R11" s="8"/>
      <c r="S11" s="8"/>
      <c r="T11" s="8"/>
    </row>
    <row r="12" spans="1:20" ht="15.6" customHeight="1">
      <c r="A12" s="8" t="s">
        <v>756</v>
      </c>
      <c r="B12" s="8"/>
      <c r="C12" s="8"/>
      <c r="D12" s="8"/>
      <c r="E12" s="8"/>
      <c r="F12" s="323"/>
      <c r="G12" s="224"/>
      <c r="H12" s="224"/>
      <c r="P12" s="8"/>
      <c r="Q12" s="8"/>
      <c r="R12" s="8"/>
      <c r="S12" s="8"/>
      <c r="T12" s="8"/>
    </row>
    <row r="13" spans="1:20" ht="15.6" customHeight="1">
      <c r="E13" s="1748" t="s">
        <v>491</v>
      </c>
      <c r="F13" s="1749"/>
      <c r="G13" s="1748" t="s">
        <v>347</v>
      </c>
      <c r="H13" s="1749"/>
      <c r="P13" s="8"/>
      <c r="Q13" s="8"/>
      <c r="R13" s="8"/>
      <c r="S13" s="8"/>
      <c r="T13" s="8"/>
    </row>
    <row r="14" spans="1:20" ht="15.6" customHeight="1">
      <c r="A14" s="8" t="s">
        <v>495</v>
      </c>
      <c r="B14" s="8"/>
      <c r="C14" s="8"/>
      <c r="D14" s="8"/>
      <c r="E14" s="1688">
        <f>+'Sources and Uses'!G3</f>
        <v>0</v>
      </c>
      <c r="F14" s="1689"/>
      <c r="G14" s="1688">
        <f>'Sources and Uses'!G5</f>
        <v>0</v>
      </c>
      <c r="H14" s="1689"/>
      <c r="P14" s="424"/>
      <c r="Q14" s="424"/>
      <c r="R14" s="424"/>
      <c r="S14" s="424"/>
      <c r="T14" s="424"/>
    </row>
    <row r="15" spans="1:20" ht="15.6" customHeight="1">
      <c r="A15" s="8" t="s">
        <v>496</v>
      </c>
      <c r="B15" s="8"/>
      <c r="C15" s="8"/>
      <c r="D15" s="8"/>
      <c r="E15" s="1688" t="str">
        <f>IF(E14&gt;0,E14/F11,"")</f>
        <v/>
      </c>
      <c r="F15" s="1689"/>
      <c r="G15" s="1688" t="str">
        <f>IF(G14&gt;0,G14/F12,"")</f>
        <v/>
      </c>
      <c r="H15" s="1689"/>
      <c r="P15" s="8"/>
      <c r="Q15" s="8"/>
      <c r="R15" s="8"/>
      <c r="S15" s="8"/>
      <c r="T15" s="8"/>
    </row>
    <row r="16" spans="1:20" ht="15.6" customHeight="1">
      <c r="A16" s="8" t="s">
        <v>497</v>
      </c>
      <c r="B16" s="8"/>
      <c r="C16" s="8"/>
      <c r="D16" s="8"/>
      <c r="E16" s="1674">
        <f>'Sources and Uses'!I3</f>
        <v>0</v>
      </c>
      <c r="F16" s="1675"/>
      <c r="G16" s="1674">
        <f>'Sources and Uses'!I5</f>
        <v>0</v>
      </c>
      <c r="H16" s="1675"/>
      <c r="P16" s="8"/>
      <c r="Q16" s="8"/>
      <c r="R16" s="8"/>
      <c r="S16" s="8"/>
      <c r="T16" s="8"/>
    </row>
    <row r="17" spans="1:20" ht="15.6" customHeight="1">
      <c r="A17" s="8" t="s">
        <v>680</v>
      </c>
      <c r="B17" s="8"/>
      <c r="C17" s="8"/>
      <c r="D17" s="1426">
        <f>E17+G17</f>
        <v>0</v>
      </c>
      <c r="E17" s="1672"/>
      <c r="F17" s="1673"/>
      <c r="G17" s="1672"/>
      <c r="H17" s="1673"/>
      <c r="I17" s="415" t="s">
        <v>725</v>
      </c>
      <c r="P17" s="8"/>
      <c r="Q17" s="8"/>
      <c r="R17" s="8"/>
      <c r="S17" s="8"/>
      <c r="T17" s="8"/>
    </row>
    <row r="18" spans="1:20" ht="15.6" customHeight="1">
      <c r="A18" s="1704" t="s">
        <v>678</v>
      </c>
      <c r="B18" s="1704"/>
      <c r="C18" s="1704"/>
      <c r="D18" s="1705"/>
      <c r="E18" s="1672"/>
      <c r="F18" s="1690"/>
      <c r="G18" s="1672"/>
      <c r="H18" s="1690"/>
      <c r="I18" s="416" t="s">
        <v>758</v>
      </c>
      <c r="P18" s="8"/>
      <c r="Q18" s="8"/>
      <c r="R18" s="8"/>
      <c r="S18" s="8"/>
      <c r="T18" s="8"/>
    </row>
    <row r="19" spans="1:20" ht="15.6" customHeight="1">
      <c r="A19" s="8" t="s">
        <v>679</v>
      </c>
      <c r="B19" s="8"/>
      <c r="C19" s="8"/>
      <c r="D19" s="1426">
        <f>E19+G19</f>
        <v>0</v>
      </c>
      <c r="E19" s="1695">
        <f>E17-E18</f>
        <v>0</v>
      </c>
      <c r="F19" s="1696"/>
      <c r="G19" s="1695">
        <f>G17-G18</f>
        <v>0</v>
      </c>
      <c r="H19" s="1696"/>
      <c r="I19" s="417" t="s">
        <v>726</v>
      </c>
      <c r="P19" s="8"/>
      <c r="Q19" s="8"/>
      <c r="R19" s="8"/>
      <c r="S19" s="8"/>
      <c r="T19" s="8"/>
    </row>
    <row r="20" spans="1:20" ht="15.6" customHeight="1">
      <c r="A20" s="1374" t="s">
        <v>811</v>
      </c>
      <c r="E20" s="1674" t="e">
        <f>SUM(E19/(E14*10*0.9999))</f>
        <v>#DIV/0!</v>
      </c>
      <c r="F20" s="1675"/>
      <c r="G20" s="1674" t="e">
        <f>SUM(G19/(G14*10*0.9999))</f>
        <v>#DIV/0!</v>
      </c>
      <c r="H20" s="1675"/>
      <c r="P20" s="8"/>
      <c r="Q20" s="8"/>
      <c r="R20" s="8"/>
      <c r="S20" s="8"/>
      <c r="T20" s="8"/>
    </row>
    <row r="21" spans="1:20" ht="15.6" customHeight="1">
      <c r="P21" s="8"/>
      <c r="Q21" s="8"/>
      <c r="R21" s="8"/>
      <c r="S21" s="8"/>
      <c r="T21" s="8"/>
    </row>
    <row r="22" spans="1:20" ht="15.6" customHeight="1">
      <c r="A22" s="424"/>
      <c r="B22" s="424"/>
      <c r="C22" s="1665" t="s">
        <v>498</v>
      </c>
      <c r="D22" s="1697"/>
      <c r="E22" s="1697"/>
      <c r="F22" s="1697"/>
      <c r="G22" s="1697"/>
      <c r="H22" s="1697"/>
      <c r="P22" s="424"/>
      <c r="Q22" s="424"/>
      <c r="R22" s="424"/>
      <c r="S22" s="424"/>
      <c r="T22" s="424"/>
    </row>
    <row r="23" spans="1:20" ht="15.6" customHeight="1">
      <c r="A23" s="8"/>
      <c r="B23" s="8"/>
      <c r="P23" s="8"/>
      <c r="Q23" s="8"/>
      <c r="R23" s="8"/>
      <c r="S23" s="8"/>
      <c r="T23" s="8"/>
    </row>
    <row r="24" spans="1:20" ht="15.6" customHeight="1">
      <c r="A24" s="424"/>
      <c r="B24" s="424"/>
      <c r="C24" s="422"/>
      <c r="D24" s="424"/>
      <c r="E24" s="424"/>
      <c r="F24" s="424"/>
      <c r="G24" s="424"/>
      <c r="H24" s="424"/>
      <c r="J24" s="322"/>
      <c r="P24" s="424"/>
      <c r="Q24" s="424"/>
      <c r="R24" s="424"/>
      <c r="S24" s="424"/>
      <c r="T24" s="424"/>
    </row>
    <row r="25" spans="1:20" ht="15.6" customHeight="1">
      <c r="A25" s="243"/>
      <c r="B25" s="63" t="s">
        <v>499</v>
      </c>
      <c r="C25" s="8"/>
      <c r="D25" s="8"/>
      <c r="E25" s="8"/>
      <c r="F25" s="8"/>
      <c r="G25" s="8"/>
      <c r="H25" s="8"/>
      <c r="I25" s="8"/>
      <c r="J25" s="322"/>
      <c r="P25" s="8"/>
      <c r="Q25" s="8"/>
      <c r="R25" s="8"/>
      <c r="S25" s="8"/>
      <c r="T25" s="8"/>
    </row>
    <row r="26" spans="1:20" ht="15.6" customHeight="1">
      <c r="A26" s="8"/>
      <c r="B26" s="55" t="s">
        <v>500</v>
      </c>
      <c r="C26" s="8"/>
      <c r="D26" s="8"/>
      <c r="E26" s="8"/>
      <c r="F26" s="8"/>
      <c r="G26" s="8"/>
      <c r="H26" s="8"/>
      <c r="J26" s="322"/>
      <c r="P26" s="8"/>
      <c r="Q26" s="8"/>
      <c r="R26" s="8"/>
      <c r="S26" s="8"/>
      <c r="T26" s="8"/>
    </row>
    <row r="27" spans="1:20" ht="15.6" customHeight="1">
      <c r="A27" s="243"/>
      <c r="B27" s="63" t="s">
        <v>501</v>
      </c>
      <c r="C27" s="8"/>
      <c r="D27" s="8"/>
      <c r="E27" s="8"/>
      <c r="F27" s="8"/>
      <c r="G27" s="8"/>
      <c r="H27" s="8"/>
      <c r="I27" s="8"/>
      <c r="J27" s="322"/>
      <c r="P27" s="8"/>
      <c r="Q27" s="8"/>
      <c r="R27" s="8"/>
      <c r="S27" s="8"/>
      <c r="T27" s="8"/>
    </row>
    <row r="28" spans="1:20" ht="15.6" customHeight="1">
      <c r="A28" s="8"/>
      <c r="B28" s="55" t="s">
        <v>502</v>
      </c>
      <c r="C28" s="8"/>
      <c r="D28" s="8"/>
      <c r="E28" s="8"/>
      <c r="F28" s="8"/>
      <c r="G28" s="8"/>
      <c r="H28" s="8"/>
      <c r="I28" s="8"/>
      <c r="J28" s="322"/>
      <c r="P28" s="8"/>
      <c r="Q28" s="8"/>
      <c r="R28" s="8"/>
      <c r="S28" s="8"/>
      <c r="T28" s="8"/>
    </row>
    <row r="29" spans="1:20" ht="15.6" customHeight="1">
      <c r="A29" s="8"/>
      <c r="B29" s="55" t="s">
        <v>503</v>
      </c>
      <c r="C29" s="8"/>
      <c r="D29" s="8"/>
      <c r="E29" s="8"/>
      <c r="F29" s="8"/>
      <c r="G29" s="8"/>
      <c r="H29" s="8"/>
      <c r="I29" s="8"/>
      <c r="J29" s="322"/>
      <c r="P29" s="8"/>
      <c r="Q29" s="8"/>
      <c r="R29" s="8"/>
      <c r="S29" s="8"/>
      <c r="T29" s="8"/>
    </row>
    <row r="30" spans="1:20" ht="15.6" customHeight="1">
      <c r="A30" s="243"/>
      <c r="B30" s="63" t="s">
        <v>647</v>
      </c>
      <c r="C30" s="8"/>
      <c r="D30" s="8"/>
      <c r="E30" s="8"/>
      <c r="F30" s="8"/>
      <c r="G30" s="8"/>
      <c r="H30" s="8"/>
      <c r="I30" s="8"/>
      <c r="J30" s="322"/>
      <c r="P30" s="8"/>
      <c r="Q30" s="8"/>
      <c r="R30" s="8"/>
      <c r="S30" s="8"/>
      <c r="T30" s="8"/>
    </row>
    <row r="31" spans="1:20" ht="15.6" customHeight="1">
      <c r="A31" s="8"/>
      <c r="B31" s="55" t="s">
        <v>648</v>
      </c>
      <c r="C31" s="8"/>
      <c r="D31" s="8"/>
      <c r="E31" s="8"/>
      <c r="F31" s="8"/>
      <c r="G31" s="8"/>
      <c r="H31" s="8"/>
      <c r="I31" s="8"/>
      <c r="J31" s="322"/>
      <c r="P31" s="8"/>
      <c r="Q31" s="8"/>
      <c r="R31" s="8"/>
      <c r="S31" s="8"/>
      <c r="T31" s="8"/>
    </row>
    <row r="32" spans="1:20" ht="15.6" customHeight="1">
      <c r="A32" s="243"/>
      <c r="B32" s="63" t="s">
        <v>504</v>
      </c>
      <c r="C32" s="8"/>
      <c r="D32" s="8"/>
      <c r="E32" s="8"/>
      <c r="F32" s="8"/>
      <c r="G32" s="8"/>
      <c r="H32" s="8"/>
      <c r="I32" s="8"/>
      <c r="J32" s="322"/>
      <c r="P32" s="8"/>
      <c r="Q32" s="8"/>
      <c r="R32" s="8"/>
      <c r="S32" s="8"/>
      <c r="T32" s="8"/>
    </row>
    <row r="33" spans="1:20" ht="15.6" customHeight="1">
      <c r="A33" s="8"/>
      <c r="B33" s="55" t="s">
        <v>505</v>
      </c>
      <c r="C33" s="8"/>
      <c r="D33" s="8"/>
      <c r="E33" s="8"/>
      <c r="F33" s="8"/>
      <c r="G33" s="8"/>
      <c r="H33" s="8"/>
      <c r="I33" s="8"/>
      <c r="J33" s="322"/>
      <c r="P33" s="8"/>
      <c r="Q33" s="8"/>
      <c r="R33" s="8"/>
      <c r="S33" s="8"/>
      <c r="T33" s="8"/>
    </row>
    <row r="34" spans="1:20" ht="15.6" customHeight="1">
      <c r="A34" s="8"/>
      <c r="B34" s="55" t="s">
        <v>503</v>
      </c>
      <c r="C34" s="8"/>
      <c r="D34" s="8"/>
      <c r="E34" s="8"/>
      <c r="F34" s="8"/>
      <c r="G34" s="8"/>
      <c r="H34" s="8"/>
      <c r="I34" s="8"/>
      <c r="J34" s="322"/>
      <c r="P34" s="8"/>
      <c r="Q34" s="8"/>
      <c r="R34" s="8"/>
      <c r="S34" s="8"/>
      <c r="T34" s="8"/>
    </row>
    <row r="35" spans="1:20" ht="15.6" customHeight="1">
      <c r="A35" s="8"/>
      <c r="B35" s="55"/>
      <c r="C35" s="8"/>
      <c r="D35" s="8"/>
      <c r="E35" s="8"/>
      <c r="F35" s="8"/>
      <c r="G35" s="8"/>
      <c r="H35" s="8"/>
      <c r="I35" s="413"/>
      <c r="J35" s="414"/>
      <c r="K35" s="414"/>
      <c r="L35" s="414"/>
      <c r="M35" s="414"/>
      <c r="P35" s="8"/>
      <c r="Q35" s="8"/>
      <c r="R35" s="8"/>
      <c r="S35" s="8"/>
      <c r="T35" s="8"/>
    </row>
    <row r="36" spans="1:20" ht="15.6" customHeight="1">
      <c r="A36" s="325"/>
      <c r="B36" s="326"/>
      <c r="C36" s="1698" t="s">
        <v>659</v>
      </c>
      <c r="D36" s="1666"/>
      <c r="E36" s="1666"/>
      <c r="F36" s="1666"/>
      <c r="G36" s="1666"/>
      <c r="H36" s="1666"/>
      <c r="I36" s="8"/>
      <c r="J36" s="322"/>
      <c r="P36" s="8"/>
      <c r="Q36" s="8"/>
      <c r="R36" s="8"/>
      <c r="S36" s="8"/>
      <c r="T36" s="8"/>
    </row>
    <row r="37" spans="1:20" ht="15.6" customHeight="1">
      <c r="A37" s="327"/>
      <c r="B37" s="328"/>
      <c r="C37" s="224"/>
      <c r="D37" s="224"/>
      <c r="E37" s="224"/>
      <c r="F37" s="224"/>
      <c r="G37" s="224"/>
      <c r="H37" s="8"/>
      <c r="I37" s="8"/>
      <c r="J37" s="322"/>
      <c r="P37" s="8"/>
      <c r="Q37" s="8"/>
      <c r="R37" s="8"/>
      <c r="S37" s="8"/>
      <c r="T37" s="8"/>
    </row>
    <row r="38" spans="1:20" ht="15.6" customHeight="1">
      <c r="A38" s="320"/>
      <c r="B38" s="60" t="s">
        <v>660</v>
      </c>
      <c r="C38" s="1699">
        <f>'Sources and Uses'!B3</f>
        <v>0</v>
      </c>
      <c r="D38" s="1700"/>
      <c r="E38" s="1700"/>
      <c r="F38" s="1700"/>
      <c r="G38" s="1700"/>
      <c r="H38" s="8"/>
      <c r="I38" s="8"/>
      <c r="J38" s="8"/>
      <c r="P38" s="8"/>
      <c r="Q38" s="8"/>
      <c r="R38" s="8"/>
      <c r="S38" s="8"/>
      <c r="T38" s="8"/>
    </row>
    <row r="39" spans="1:20" ht="15.6" customHeight="1">
      <c r="A39" s="8"/>
      <c r="B39" s="60"/>
      <c r="C39" s="718"/>
      <c r="D39" s="718"/>
      <c r="E39" s="718"/>
      <c r="F39" s="718"/>
      <c r="G39" s="718"/>
      <c r="H39" s="8"/>
      <c r="I39" s="8"/>
      <c r="J39" s="8"/>
      <c r="P39" s="8"/>
      <c r="Q39" s="8"/>
      <c r="R39" s="8"/>
      <c r="S39" s="8"/>
      <c r="T39" s="8"/>
    </row>
    <row r="40" spans="1:20" ht="15.6" customHeight="1">
      <c r="A40" s="8"/>
      <c r="B40" s="60" t="str">
        <f>'Sources and Uses'!A2</f>
        <v>Project Name:</v>
      </c>
      <c r="C40" s="1699">
        <f>'Sources and Uses'!B2</f>
        <v>0</v>
      </c>
      <c r="D40" s="1700"/>
      <c r="E40" s="1700"/>
      <c r="F40" s="1700"/>
      <c r="G40" s="1700"/>
      <c r="H40" s="8"/>
      <c r="I40" s="8"/>
      <c r="J40" s="8"/>
      <c r="P40" s="8"/>
      <c r="Q40" s="8"/>
      <c r="R40" s="8"/>
      <c r="S40" s="8"/>
      <c r="T40" s="8"/>
    </row>
    <row r="41" spans="1:20" ht="15.6" customHeight="1">
      <c r="A41" s="373"/>
      <c r="B41" s="372"/>
      <c r="C41" s="372"/>
      <c r="D41" s="372"/>
      <c r="E41" s="372"/>
      <c r="F41" s="372"/>
      <c r="G41" s="372"/>
      <c r="H41" s="373"/>
      <c r="I41" s="373"/>
      <c r="J41" s="373"/>
      <c r="P41" s="373"/>
      <c r="Q41" s="373"/>
      <c r="R41" s="373"/>
      <c r="S41" s="373"/>
      <c r="T41" s="373"/>
    </row>
    <row r="42" spans="1:20" s="376" customFormat="1" ht="33" customHeight="1">
      <c r="C42" s="1750" t="s">
        <v>757</v>
      </c>
      <c r="D42" s="1751"/>
      <c r="E42" s="1751"/>
      <c r="F42" s="1751"/>
      <c r="G42" s="1751"/>
      <c r="H42" s="735"/>
      <c r="I42" s="377"/>
      <c r="J42" s="377"/>
      <c r="P42" s="377"/>
      <c r="Q42" s="377"/>
      <c r="R42" s="377"/>
      <c r="S42" s="377"/>
      <c r="T42" s="377"/>
    </row>
    <row r="43" spans="1:20" ht="15.6" customHeight="1">
      <c r="A43" s="8"/>
      <c r="B43" s="60"/>
      <c r="C43" s="1751"/>
      <c r="D43" s="1751"/>
      <c r="E43" s="1751"/>
      <c r="F43" s="1751"/>
      <c r="G43" s="1751"/>
      <c r="H43" s="1124"/>
      <c r="I43" s="8"/>
      <c r="J43" s="8"/>
      <c r="P43" s="8"/>
      <c r="Q43" s="8"/>
      <c r="R43" s="8"/>
      <c r="S43" s="8"/>
      <c r="T43" s="8"/>
    </row>
    <row r="44" spans="1:20" ht="15.6" customHeight="1">
      <c r="A44" s="8"/>
      <c r="B44" s="8"/>
      <c r="C44" s="8"/>
      <c r="D44" s="8"/>
      <c r="E44" s="8"/>
      <c r="F44" s="8"/>
      <c r="G44" s="8"/>
      <c r="H44" s="8"/>
      <c r="I44" s="8"/>
      <c r="J44" s="8"/>
      <c r="P44" s="8"/>
      <c r="Q44" s="8"/>
      <c r="R44" s="8"/>
      <c r="S44" s="8"/>
      <c r="T44" s="8"/>
    </row>
    <row r="45" spans="1:20" ht="15.6" customHeight="1">
      <c r="A45" s="1676" t="s">
        <v>661</v>
      </c>
      <c r="B45" s="1678"/>
      <c r="C45" s="1676" t="s">
        <v>662</v>
      </c>
      <c r="D45" s="1706"/>
      <c r="E45" s="1707"/>
      <c r="F45" s="1676" t="s">
        <v>663</v>
      </c>
      <c r="G45" s="1677"/>
      <c r="H45" s="1678"/>
      <c r="I45" s="310" t="s">
        <v>664</v>
      </c>
      <c r="J45" s="8"/>
      <c r="P45" s="8"/>
      <c r="Q45" s="8"/>
      <c r="R45" s="8"/>
      <c r="S45" s="8"/>
      <c r="T45" s="8"/>
    </row>
    <row r="46" spans="1:20" ht="15.6" customHeight="1">
      <c r="A46" s="1679" t="s">
        <v>665</v>
      </c>
      <c r="B46" s="1680"/>
      <c r="C46" s="1679" t="s">
        <v>666</v>
      </c>
      <c r="D46" s="1681"/>
      <c r="E46" s="1680"/>
      <c r="F46" s="1679" t="s">
        <v>667</v>
      </c>
      <c r="G46" s="1681"/>
      <c r="H46" s="1680"/>
      <c r="I46" s="329" t="s">
        <v>668</v>
      </c>
      <c r="J46" s="8"/>
      <c r="P46" s="8"/>
      <c r="Q46" s="8"/>
      <c r="R46" s="8"/>
      <c r="S46" s="8"/>
      <c r="T46" s="8"/>
    </row>
    <row r="47" spans="1:20" ht="15.6" customHeight="1">
      <c r="A47" s="1682" t="str">
        <f>IF(E14&gt;0,"LIHTC Tax Credits","")</f>
        <v/>
      </c>
      <c r="B47" s="1683"/>
      <c r="C47" s="1684" t="str">
        <f>IF(E14&gt;0,"Federal Low-Income Housing Tax Credit","")</f>
        <v/>
      </c>
      <c r="D47" s="1685"/>
      <c r="E47" s="1683"/>
      <c r="F47" s="1682" t="str">
        <f>IF(E14&gt;0,"Tax Credit","")</f>
        <v/>
      </c>
      <c r="G47" s="1685"/>
      <c r="H47" s="1683"/>
      <c r="I47" s="1416" t="str">
        <f>IF(E14&gt;0,E14*10,"")</f>
        <v/>
      </c>
      <c r="J47" s="8"/>
      <c r="P47" s="8"/>
      <c r="Q47" s="8"/>
      <c r="R47" s="8"/>
      <c r="S47" s="8"/>
      <c r="T47" s="8"/>
    </row>
    <row r="48" spans="1:20" ht="15.6" customHeight="1">
      <c r="A48" s="1682" t="str">
        <f>IF(G14&gt;0,"SLIHC Tax Credits","")</f>
        <v/>
      </c>
      <c r="B48" s="1683"/>
      <c r="C48" s="1684" t="str">
        <f>IF(G14&gt;0,"NYS Low-Income Housing Tax Credit","")</f>
        <v/>
      </c>
      <c r="D48" s="1685"/>
      <c r="E48" s="1683"/>
      <c r="F48" s="1682" t="str">
        <f>IF(G14&gt;0,"Tax Credit","")</f>
        <v/>
      </c>
      <c r="G48" s="1685"/>
      <c r="H48" s="1683"/>
      <c r="I48" s="1416" t="str">
        <f>IF(G14&gt;0,G14*10,"")</f>
        <v/>
      </c>
      <c r="J48" s="8"/>
      <c r="P48" s="8"/>
      <c r="Q48" s="8"/>
      <c r="R48" s="8"/>
      <c r="S48" s="8"/>
      <c r="T48" s="8"/>
    </row>
    <row r="49" spans="1:20" ht="15.6" customHeight="1">
      <c r="A49" s="1668"/>
      <c r="B49" s="1669"/>
      <c r="C49" s="1670"/>
      <c r="D49" s="1671"/>
      <c r="E49" s="1669"/>
      <c r="F49" s="1668"/>
      <c r="G49" s="1671"/>
      <c r="H49" s="1669"/>
      <c r="I49" s="1371"/>
      <c r="J49" s="8"/>
      <c r="P49" s="8"/>
      <c r="Q49" s="8"/>
      <c r="R49" s="8"/>
      <c r="S49" s="8"/>
      <c r="T49" s="8"/>
    </row>
    <row r="50" spans="1:20" ht="15.6" customHeight="1">
      <c r="A50" s="1668"/>
      <c r="B50" s="1669"/>
      <c r="C50" s="1670"/>
      <c r="D50" s="1671"/>
      <c r="E50" s="1669"/>
      <c r="F50" s="1668"/>
      <c r="G50" s="1671"/>
      <c r="H50" s="1669"/>
      <c r="I50" s="1371"/>
      <c r="J50" s="8"/>
      <c r="P50" s="8"/>
      <c r="Q50" s="8"/>
      <c r="R50" s="8"/>
      <c r="S50" s="8"/>
      <c r="T50" s="8"/>
    </row>
    <row r="51" spans="1:20" ht="15.6" customHeight="1">
      <c r="A51" s="1668"/>
      <c r="B51" s="1669"/>
      <c r="C51" s="1670"/>
      <c r="D51" s="1671"/>
      <c r="E51" s="1669"/>
      <c r="F51" s="1668"/>
      <c r="G51" s="1671"/>
      <c r="H51" s="1669"/>
      <c r="I51" s="1371"/>
      <c r="J51" s="8"/>
      <c r="P51" s="8"/>
      <c r="Q51" s="8"/>
      <c r="R51" s="8"/>
      <c r="S51" s="8"/>
      <c r="T51" s="8"/>
    </row>
    <row r="52" spans="1:20" ht="15.6" customHeight="1">
      <c r="A52" s="1668"/>
      <c r="B52" s="1669"/>
      <c r="C52" s="1670"/>
      <c r="D52" s="1671"/>
      <c r="E52" s="1669"/>
      <c r="F52" s="1668"/>
      <c r="G52" s="1671"/>
      <c r="H52" s="1669"/>
      <c r="I52" s="1371"/>
      <c r="J52" s="8"/>
      <c r="P52" s="8"/>
      <c r="Q52" s="8"/>
      <c r="R52" s="8"/>
      <c r="S52" s="8"/>
      <c r="T52" s="8"/>
    </row>
    <row r="53" spans="1:20" ht="15.6" customHeight="1">
      <c r="A53" s="1668"/>
      <c r="B53" s="1669"/>
      <c r="C53" s="1670"/>
      <c r="D53" s="1671"/>
      <c r="E53" s="1669"/>
      <c r="F53" s="1668"/>
      <c r="G53" s="1671"/>
      <c r="H53" s="1669"/>
      <c r="I53" s="1371"/>
      <c r="J53" s="8"/>
      <c r="P53" s="8"/>
      <c r="Q53" s="8"/>
      <c r="R53" s="8"/>
      <c r="S53" s="8"/>
      <c r="T53" s="8"/>
    </row>
    <row r="54" spans="1:20" ht="15.6" customHeight="1">
      <c r="A54" s="1668"/>
      <c r="B54" s="1669"/>
      <c r="C54" s="1670"/>
      <c r="D54" s="1671"/>
      <c r="E54" s="1669"/>
      <c r="F54" s="1668"/>
      <c r="G54" s="1671"/>
      <c r="H54" s="1669"/>
      <c r="I54" s="1371"/>
      <c r="J54" s="8"/>
      <c r="P54" s="8"/>
      <c r="Q54" s="8"/>
      <c r="R54" s="8"/>
      <c r="S54" s="8"/>
      <c r="T54" s="8"/>
    </row>
    <row r="55" spans="1:20" ht="15.6" customHeight="1">
      <c r="A55" s="1668"/>
      <c r="B55" s="1669"/>
      <c r="C55" s="1670"/>
      <c r="D55" s="1671"/>
      <c r="E55" s="1669"/>
      <c r="F55" s="1668"/>
      <c r="G55" s="1671"/>
      <c r="H55" s="1669"/>
      <c r="I55" s="1371"/>
      <c r="J55" s="8"/>
      <c r="P55" s="8"/>
      <c r="Q55" s="8"/>
      <c r="R55" s="8"/>
      <c r="S55" s="8"/>
      <c r="T55" s="8"/>
    </row>
    <row r="56" spans="1:20" ht="15.6" customHeight="1">
      <c r="A56" s="1668"/>
      <c r="B56" s="1669"/>
      <c r="C56" s="1670"/>
      <c r="D56" s="1671"/>
      <c r="E56" s="1669"/>
      <c r="F56" s="1668"/>
      <c r="G56" s="1671"/>
      <c r="H56" s="1669"/>
      <c r="I56" s="1371"/>
      <c r="J56" s="8"/>
      <c r="P56" s="8"/>
      <c r="Q56" s="8"/>
      <c r="R56" s="8"/>
      <c r="S56" s="8"/>
      <c r="T56" s="8"/>
    </row>
    <row r="57" spans="1:20" ht="15.6" customHeight="1">
      <c r="A57" s="1668"/>
      <c r="B57" s="1669"/>
      <c r="C57" s="1670"/>
      <c r="D57" s="1671"/>
      <c r="E57" s="1669"/>
      <c r="F57" s="1668"/>
      <c r="G57" s="1671"/>
      <c r="H57" s="1669"/>
      <c r="I57" s="1371"/>
      <c r="J57" s="8"/>
      <c r="P57" s="8"/>
      <c r="Q57" s="8"/>
      <c r="R57" s="8"/>
      <c r="S57" s="8"/>
      <c r="T57" s="8"/>
    </row>
    <row r="58" spans="1:20" ht="15.6" customHeight="1">
      <c r="A58" s="1668"/>
      <c r="B58" s="1669"/>
      <c r="C58" s="1670"/>
      <c r="D58" s="1671"/>
      <c r="E58" s="1669"/>
      <c r="F58" s="1668"/>
      <c r="G58" s="1671"/>
      <c r="H58" s="1669"/>
      <c r="I58" s="1371"/>
      <c r="J58" s="8"/>
      <c r="P58" s="8"/>
      <c r="Q58" s="8"/>
      <c r="R58" s="8"/>
      <c r="S58" s="8"/>
      <c r="T58" s="8"/>
    </row>
    <row r="59" spans="1:20" ht="15.6" customHeight="1">
      <c r="A59" s="1668"/>
      <c r="B59" s="1669"/>
      <c r="C59" s="1670"/>
      <c r="D59" s="1671"/>
      <c r="E59" s="1669"/>
      <c r="F59" s="1668"/>
      <c r="G59" s="1671"/>
      <c r="H59" s="1669"/>
      <c r="I59" s="1371"/>
      <c r="J59" s="8"/>
      <c r="P59" s="8"/>
      <c r="Q59" s="8"/>
      <c r="R59" s="8"/>
      <c r="S59" s="8"/>
      <c r="T59" s="8"/>
    </row>
    <row r="60" spans="1:20" ht="15.6" customHeight="1">
      <c r="A60" s="1668"/>
      <c r="B60" s="1669"/>
      <c r="C60" s="1670"/>
      <c r="D60" s="1671"/>
      <c r="E60" s="1669"/>
      <c r="F60" s="1668"/>
      <c r="G60" s="1671"/>
      <c r="H60" s="1669"/>
      <c r="I60" s="1371"/>
      <c r="J60" s="8"/>
      <c r="P60" s="8"/>
      <c r="Q60" s="8"/>
      <c r="R60" s="8"/>
      <c r="S60" s="8"/>
      <c r="T60" s="8"/>
    </row>
    <row r="61" spans="1:20" ht="15.6" customHeight="1">
      <c r="A61" s="1668"/>
      <c r="B61" s="1669"/>
      <c r="C61" s="1670"/>
      <c r="D61" s="1671"/>
      <c r="E61" s="1669"/>
      <c r="F61" s="1668"/>
      <c r="G61" s="1671"/>
      <c r="H61" s="1669"/>
      <c r="I61" s="1371"/>
      <c r="J61" s="8"/>
      <c r="P61" s="8"/>
      <c r="Q61" s="8"/>
      <c r="R61" s="8"/>
      <c r="S61" s="8"/>
      <c r="T61" s="8"/>
    </row>
    <row r="62" spans="1:20" ht="15.6" customHeight="1">
      <c r="A62" s="1668"/>
      <c r="B62" s="1669"/>
      <c r="C62" s="1670"/>
      <c r="D62" s="1671"/>
      <c r="E62" s="1669"/>
      <c r="F62" s="1668"/>
      <c r="G62" s="1671"/>
      <c r="H62" s="1669"/>
      <c r="I62" s="1371"/>
      <c r="J62" s="322"/>
      <c r="P62" s="8"/>
      <c r="Q62" s="8"/>
      <c r="R62" s="8"/>
      <c r="S62" s="8"/>
      <c r="T62" s="8"/>
    </row>
    <row r="63" spans="1:20" ht="15.6" customHeight="1">
      <c r="A63" s="1668"/>
      <c r="B63" s="1669"/>
      <c r="C63" s="1670"/>
      <c r="D63" s="1671"/>
      <c r="E63" s="1669"/>
      <c r="F63" s="1668"/>
      <c r="G63" s="1671"/>
      <c r="H63" s="1669"/>
      <c r="I63" s="1371"/>
      <c r="J63" s="322"/>
      <c r="P63" s="8"/>
      <c r="Q63" s="8"/>
      <c r="R63" s="8"/>
      <c r="S63" s="8"/>
      <c r="T63" s="8"/>
    </row>
    <row r="64" spans="1:20" ht="15.6" customHeight="1">
      <c r="A64" s="1668"/>
      <c r="B64" s="1669"/>
      <c r="C64" s="1670"/>
      <c r="D64" s="1671"/>
      <c r="E64" s="1669"/>
      <c r="F64" s="1668"/>
      <c r="G64" s="1671"/>
      <c r="H64" s="1669"/>
      <c r="I64" s="1371"/>
      <c r="J64" s="322"/>
      <c r="P64" s="8"/>
      <c r="Q64" s="8"/>
      <c r="R64" s="8"/>
      <c r="S64" s="8"/>
      <c r="T64" s="8"/>
    </row>
    <row r="65" spans="1:20" ht="15.6" customHeight="1">
      <c r="A65" s="1668"/>
      <c r="B65" s="1669"/>
      <c r="C65" s="1670"/>
      <c r="D65" s="1671"/>
      <c r="E65" s="1669"/>
      <c r="F65" s="1668"/>
      <c r="G65" s="1671"/>
      <c r="H65" s="1669"/>
      <c r="I65" s="1371"/>
      <c r="J65" s="322"/>
      <c r="P65" s="8"/>
      <c r="Q65" s="8"/>
      <c r="R65" s="8"/>
      <c r="S65" s="8"/>
      <c r="T65" s="8"/>
    </row>
    <row r="66" spans="1:20" ht="15.6" customHeight="1">
      <c r="A66" s="1668"/>
      <c r="B66" s="1669"/>
      <c r="C66" s="1670"/>
      <c r="D66" s="1671"/>
      <c r="E66" s="1669"/>
      <c r="F66" s="1668"/>
      <c r="G66" s="1671"/>
      <c r="H66" s="1669"/>
      <c r="I66" s="1371"/>
      <c r="J66" s="322"/>
      <c r="P66" s="8"/>
      <c r="Q66" s="8"/>
      <c r="R66" s="8"/>
      <c r="S66" s="8"/>
      <c r="T66" s="8"/>
    </row>
    <row r="67" spans="1:20" ht="15.6" customHeight="1">
      <c r="A67" s="62"/>
      <c r="B67" s="8"/>
      <c r="C67" s="62"/>
      <c r="D67" s="8"/>
      <c r="E67" s="8"/>
      <c r="F67" s="62"/>
      <c r="G67" s="8"/>
      <c r="H67" s="8"/>
      <c r="I67" s="330"/>
      <c r="J67" s="322"/>
      <c r="P67" s="8"/>
      <c r="Q67" s="8"/>
      <c r="R67" s="8"/>
      <c r="S67" s="8"/>
      <c r="T67" s="8"/>
    </row>
    <row r="68" spans="1:20">
      <c r="A68" s="1665" t="s">
        <v>689</v>
      </c>
      <c r="B68" s="1665"/>
      <c r="C68" s="1665"/>
      <c r="D68" s="1665"/>
      <c r="E68" s="1665"/>
      <c r="F68" s="1665"/>
      <c r="G68" s="1665"/>
      <c r="H68" s="1665"/>
      <c r="I68" s="1665"/>
      <c r="J68" s="322"/>
      <c r="P68" s="8"/>
      <c r="Q68" s="8"/>
      <c r="R68" s="8"/>
      <c r="S68" s="8"/>
      <c r="T68" s="8"/>
    </row>
    <row r="69" spans="1:20">
      <c r="A69" s="308"/>
      <c r="B69" s="308"/>
      <c r="C69" s="308"/>
      <c r="D69" s="308"/>
      <c r="E69" s="308"/>
      <c r="F69" s="308"/>
      <c r="G69" s="308"/>
      <c r="H69" s="308"/>
      <c r="I69" s="308"/>
      <c r="J69" s="322"/>
      <c r="P69" s="8"/>
      <c r="Q69" s="8"/>
      <c r="R69" s="8"/>
      <c r="S69" s="8"/>
      <c r="T69" s="8"/>
    </row>
    <row r="70" spans="1:20">
      <c r="A70" s="321"/>
      <c r="B70" s="60"/>
      <c r="D70" s="8"/>
      <c r="E70" s="331" t="s">
        <v>669</v>
      </c>
      <c r="F70" s="8"/>
      <c r="G70" s="8"/>
      <c r="H70" s="8"/>
      <c r="I70" s="8"/>
      <c r="P70" s="8"/>
      <c r="Q70" s="8"/>
      <c r="R70" s="8"/>
      <c r="S70" s="8"/>
      <c r="T70" s="8"/>
    </row>
    <row r="71" spans="1:20">
      <c r="A71" s="321"/>
      <c r="B71" s="60"/>
      <c r="D71" s="424"/>
      <c r="E71" s="331"/>
      <c r="F71" s="424"/>
      <c r="G71" s="424"/>
      <c r="H71" s="424"/>
      <c r="I71" s="424"/>
      <c r="P71" s="424"/>
      <c r="Q71" s="424"/>
      <c r="R71" s="424"/>
      <c r="S71" s="424"/>
      <c r="T71" s="424"/>
    </row>
    <row r="72" spans="1:20">
      <c r="A72" s="321" t="s">
        <v>506</v>
      </c>
      <c r="B72" s="8" t="s">
        <v>507</v>
      </c>
      <c r="C72" s="8"/>
      <c r="D72" s="8"/>
      <c r="E72" s="8"/>
      <c r="G72" s="1372"/>
      <c r="H72" s="8"/>
      <c r="I72" s="8"/>
      <c r="P72" s="8"/>
      <c r="Q72" s="8"/>
      <c r="R72" s="8"/>
      <c r="S72" s="8"/>
      <c r="T72" s="8"/>
    </row>
    <row r="73" spans="1:20">
      <c r="B73" s="321" t="s">
        <v>508</v>
      </c>
      <c r="D73" s="60" t="s">
        <v>509</v>
      </c>
      <c r="E73" s="1701"/>
      <c r="F73" s="1702"/>
      <c r="G73" s="1703"/>
      <c r="H73" s="8"/>
      <c r="I73" s="8"/>
      <c r="P73" s="8"/>
      <c r="Q73" s="8"/>
      <c r="R73" s="8"/>
      <c r="S73" s="8"/>
      <c r="T73" s="8"/>
    </row>
    <row r="74" spans="1:20">
      <c r="A74" s="321" t="s">
        <v>510</v>
      </c>
      <c r="B74" s="8" t="s">
        <v>511</v>
      </c>
      <c r="C74" s="8"/>
      <c r="D74" s="8"/>
      <c r="E74" s="1373"/>
      <c r="H74" s="8"/>
      <c r="I74" s="8"/>
      <c r="P74" s="8"/>
      <c r="Q74" s="8"/>
      <c r="R74" s="8"/>
      <c r="S74" s="8"/>
      <c r="T74" s="8"/>
    </row>
    <row r="75" spans="1:20">
      <c r="A75" s="321"/>
      <c r="C75" s="8"/>
      <c r="D75" s="60" t="s">
        <v>646</v>
      </c>
      <c r="E75" s="1214"/>
      <c r="H75" s="8"/>
      <c r="I75" s="8"/>
      <c r="P75" s="8"/>
      <c r="Q75" s="8"/>
      <c r="R75" s="8"/>
      <c r="S75" s="8"/>
      <c r="T75" s="8"/>
    </row>
    <row r="76" spans="1:20">
      <c r="A76" s="321"/>
      <c r="C76" s="8"/>
      <c r="D76" s="8"/>
      <c r="E76" s="60"/>
      <c r="F76" s="67"/>
      <c r="H76" s="8"/>
      <c r="I76" s="8"/>
      <c r="P76" s="8"/>
      <c r="Q76" s="8"/>
      <c r="R76" s="8"/>
      <c r="S76" s="8"/>
      <c r="T76" s="8"/>
    </row>
    <row r="77" spans="1:20">
      <c r="A77" s="321" t="s">
        <v>512</v>
      </c>
      <c r="B77" s="8" t="s">
        <v>513</v>
      </c>
      <c r="C77" s="8"/>
      <c r="D77" s="8"/>
      <c r="E77" s="8"/>
      <c r="G77" s="243"/>
      <c r="H77" s="8"/>
      <c r="I77" s="8"/>
      <c r="P77" s="8"/>
      <c r="Q77" s="8"/>
      <c r="R77" s="8"/>
      <c r="S77" s="8"/>
      <c r="T77" s="8"/>
    </row>
    <row r="78" spans="1:20">
      <c r="B78" s="321" t="s">
        <v>514</v>
      </c>
      <c r="D78" s="60" t="s">
        <v>515</v>
      </c>
      <c r="E78" s="1215"/>
      <c r="G78" s="8"/>
      <c r="H78" s="8"/>
      <c r="I78" s="8"/>
      <c r="P78" s="8"/>
      <c r="Q78" s="8"/>
      <c r="R78" s="8"/>
      <c r="S78" s="8"/>
      <c r="T78" s="8"/>
    </row>
    <row r="79" spans="1:20">
      <c r="B79" s="321" t="s">
        <v>516</v>
      </c>
      <c r="D79" s="60" t="s">
        <v>517</v>
      </c>
      <c r="E79" s="1686"/>
      <c r="F79" s="1687"/>
      <c r="G79" s="8"/>
      <c r="H79" s="8"/>
      <c r="I79" s="8"/>
      <c r="P79" s="8"/>
      <c r="Q79" s="8"/>
      <c r="R79" s="8"/>
      <c r="S79" s="8"/>
      <c r="T79" s="8"/>
    </row>
    <row r="80" spans="1:20">
      <c r="A80" s="321"/>
      <c r="B80" s="8"/>
      <c r="D80" s="8"/>
      <c r="E80" s="8"/>
      <c r="F80" s="8"/>
      <c r="G80" s="8"/>
      <c r="H80" s="8"/>
      <c r="I80" s="8"/>
      <c r="P80" s="8"/>
      <c r="Q80" s="8"/>
      <c r="R80" s="8"/>
      <c r="S80" s="8"/>
      <c r="T80" s="8"/>
    </row>
    <row r="81" spans="1:20" ht="15.6" customHeight="1">
      <c r="A81" s="8"/>
      <c r="B81" s="8"/>
      <c r="C81" s="8"/>
      <c r="D81" s="1665" t="s">
        <v>670</v>
      </c>
      <c r="E81" s="1691"/>
      <c r="F81" s="1691"/>
      <c r="G81" s="8"/>
      <c r="H81" s="8"/>
      <c r="I81" s="8"/>
      <c r="P81" s="8"/>
      <c r="Q81" s="8"/>
      <c r="R81" s="8"/>
      <c r="S81" s="8"/>
      <c r="T81" s="8"/>
    </row>
    <row r="82" spans="1:20">
      <c r="A82" s="1692" t="s">
        <v>519</v>
      </c>
      <c r="B82" s="1693"/>
      <c r="C82" s="1693"/>
      <c r="D82" s="1692" t="s">
        <v>520</v>
      </c>
      <c r="E82" s="1693"/>
      <c r="F82" s="1694" t="s">
        <v>521</v>
      </c>
      <c r="G82" s="1692" t="s">
        <v>522</v>
      </c>
      <c r="H82" s="1693"/>
      <c r="I82" s="1693"/>
      <c r="P82" s="8"/>
      <c r="Q82" s="8"/>
      <c r="R82" s="8"/>
      <c r="S82" s="8"/>
      <c r="T82" s="8"/>
    </row>
    <row r="83" spans="1:20">
      <c r="A83" s="1693"/>
      <c r="B83" s="1693"/>
      <c r="C83" s="1693"/>
      <c r="D83" s="1693"/>
      <c r="E83" s="1693"/>
      <c r="F83" s="1694"/>
      <c r="G83" s="1693"/>
      <c r="H83" s="1693"/>
      <c r="I83" s="1693"/>
      <c r="P83" s="8"/>
      <c r="Q83" s="8"/>
      <c r="R83" s="8"/>
      <c r="S83" s="8"/>
      <c r="T83" s="8"/>
    </row>
    <row r="84" spans="1:20" ht="15.95" customHeight="1">
      <c r="A84" s="1708"/>
      <c r="B84" s="1709"/>
      <c r="C84" s="1710"/>
      <c r="D84" s="1712"/>
      <c r="E84" s="1712"/>
      <c r="F84" s="252"/>
      <c r="G84" s="1708"/>
      <c r="H84" s="1709"/>
      <c r="I84" s="1710"/>
      <c r="P84" s="8"/>
      <c r="Q84" s="8"/>
      <c r="R84" s="8"/>
      <c r="S84" s="8"/>
      <c r="T84" s="8"/>
    </row>
    <row r="85" spans="1:20" ht="15.6" customHeight="1">
      <c r="A85" s="1708"/>
      <c r="B85" s="1709"/>
      <c r="C85" s="1710"/>
      <c r="D85" s="1711"/>
      <c r="E85" s="1711"/>
      <c r="F85" s="252"/>
      <c r="G85" s="1708"/>
      <c r="H85" s="1709"/>
      <c r="I85" s="1710"/>
      <c r="P85" s="8"/>
      <c r="Q85" s="8"/>
      <c r="R85" s="8"/>
      <c r="S85" s="8"/>
      <c r="T85" s="8"/>
    </row>
    <row r="86" spans="1:20" ht="15.6" customHeight="1">
      <c r="A86" s="1708"/>
      <c r="B86" s="1709"/>
      <c r="C86" s="1710"/>
      <c r="D86" s="1711"/>
      <c r="E86" s="1711"/>
      <c r="F86" s="252"/>
      <c r="G86" s="1708"/>
      <c r="H86" s="1709"/>
      <c r="I86" s="1710"/>
      <c r="P86" s="8"/>
      <c r="Q86" s="8"/>
      <c r="R86" s="8"/>
      <c r="S86" s="8"/>
      <c r="T86" s="8"/>
    </row>
    <row r="87" spans="1:20" ht="15.6" customHeight="1">
      <c r="A87" s="1708"/>
      <c r="B87" s="1709"/>
      <c r="C87" s="1710"/>
      <c r="D87" s="1711"/>
      <c r="E87" s="1711"/>
      <c r="F87" s="252"/>
      <c r="G87" s="1708"/>
      <c r="H87" s="1709"/>
      <c r="I87" s="1710"/>
      <c r="P87" s="8"/>
      <c r="Q87" s="8"/>
      <c r="R87" s="8"/>
      <c r="S87" s="8"/>
      <c r="T87" s="8"/>
    </row>
    <row r="88" spans="1:20" ht="15.6" customHeight="1">
      <c r="A88" s="1708"/>
      <c r="B88" s="1709"/>
      <c r="C88" s="1710"/>
      <c r="D88" s="1711"/>
      <c r="E88" s="1711"/>
      <c r="F88" s="252"/>
      <c r="G88" s="1708"/>
      <c r="H88" s="1709"/>
      <c r="I88" s="1710"/>
      <c r="P88" s="8"/>
      <c r="Q88" s="8"/>
      <c r="R88" s="8"/>
      <c r="S88" s="8"/>
      <c r="T88" s="8"/>
    </row>
    <row r="89" spans="1:20" ht="15.6" customHeight="1">
      <c r="A89" s="1708"/>
      <c r="B89" s="1709"/>
      <c r="C89" s="1710"/>
      <c r="D89" s="1711"/>
      <c r="E89" s="1711"/>
      <c r="F89" s="252"/>
      <c r="G89" s="1708"/>
      <c r="H89" s="1709"/>
      <c r="I89" s="1710"/>
      <c r="P89" s="8"/>
      <c r="Q89" s="8"/>
      <c r="R89" s="8"/>
      <c r="S89" s="8"/>
      <c r="T89" s="8"/>
    </row>
    <row r="90" spans="1:20" ht="15.6" customHeight="1">
      <c r="A90" s="1708"/>
      <c r="B90" s="1709"/>
      <c r="C90" s="1710"/>
      <c r="D90" s="1711"/>
      <c r="E90" s="1711"/>
      <c r="F90" s="252"/>
      <c r="G90" s="1708"/>
      <c r="H90" s="1709"/>
      <c r="I90" s="1710"/>
      <c r="P90" s="8"/>
      <c r="Q90" s="8"/>
      <c r="R90" s="8"/>
      <c r="S90" s="8"/>
      <c r="T90" s="8"/>
    </row>
    <row r="91" spans="1:20">
      <c r="A91" s="1708"/>
      <c r="B91" s="1709"/>
      <c r="C91" s="1710"/>
      <c r="D91" s="1711"/>
      <c r="E91" s="1711"/>
      <c r="F91" s="252"/>
      <c r="G91" s="1708"/>
      <c r="H91" s="1709"/>
      <c r="I91" s="1710"/>
      <c r="P91" s="8"/>
      <c r="Q91" s="8"/>
      <c r="R91" s="8"/>
      <c r="S91" s="8"/>
      <c r="T91" s="8"/>
    </row>
    <row r="92" spans="1:20">
      <c r="A92" s="1708"/>
      <c r="B92" s="1709"/>
      <c r="C92" s="1710"/>
      <c r="D92" s="1711"/>
      <c r="E92" s="1711"/>
      <c r="F92" s="252"/>
      <c r="G92" s="1708"/>
      <c r="H92" s="1709"/>
      <c r="I92" s="1710"/>
      <c r="P92" s="8"/>
      <c r="Q92" s="8"/>
      <c r="R92" s="8"/>
      <c r="S92" s="8"/>
      <c r="T92" s="8"/>
    </row>
    <row r="93" spans="1:20">
      <c r="A93" s="1708"/>
      <c r="B93" s="1709"/>
      <c r="C93" s="1710"/>
      <c r="D93" s="1711"/>
      <c r="E93" s="1711"/>
      <c r="F93" s="252"/>
      <c r="G93" s="1708"/>
      <c r="H93" s="1709"/>
      <c r="I93" s="1710"/>
      <c r="P93" s="8"/>
      <c r="Q93" s="8"/>
      <c r="R93" s="8"/>
      <c r="S93" s="8"/>
      <c r="T93" s="8"/>
    </row>
    <row r="94" spans="1:20">
      <c r="A94" s="1708"/>
      <c r="B94" s="1709"/>
      <c r="C94" s="1710"/>
      <c r="D94" s="1711"/>
      <c r="E94" s="1711"/>
      <c r="F94" s="252"/>
      <c r="G94" s="1708"/>
      <c r="H94" s="1709"/>
      <c r="I94" s="1710"/>
      <c r="P94" s="8"/>
      <c r="Q94" s="8"/>
      <c r="R94" s="8"/>
      <c r="S94" s="8"/>
      <c r="T94" s="8"/>
    </row>
    <row r="95" spans="1:20">
      <c r="A95" s="1708"/>
      <c r="B95" s="1709"/>
      <c r="C95" s="1710"/>
      <c r="D95" s="1711"/>
      <c r="E95" s="1711"/>
      <c r="F95" s="252"/>
      <c r="G95" s="1708"/>
      <c r="H95" s="1709"/>
      <c r="I95" s="1710"/>
      <c r="P95" s="8"/>
      <c r="Q95" s="8"/>
      <c r="R95" s="8"/>
      <c r="S95" s="8"/>
      <c r="T95" s="8"/>
    </row>
    <row r="96" spans="1:20">
      <c r="A96" s="1729" t="s">
        <v>523</v>
      </c>
      <c r="B96" s="1730"/>
      <c r="C96" s="1731"/>
      <c r="D96" s="1688">
        <f>SUM(D84:E95)</f>
        <v>0</v>
      </c>
      <c r="E96" s="1732"/>
      <c r="F96" s="332"/>
      <c r="G96" s="1733"/>
      <c r="H96" s="1733"/>
      <c r="I96" s="1733"/>
      <c r="P96" s="8"/>
      <c r="Q96" s="8"/>
      <c r="R96" s="8"/>
      <c r="S96" s="8"/>
      <c r="T96" s="8"/>
    </row>
    <row r="97" spans="1:20">
      <c r="A97" s="1100"/>
      <c r="B97" s="1100"/>
      <c r="C97" s="1100"/>
      <c r="D97" s="1101"/>
      <c r="E97" s="1101"/>
      <c r="F97" s="1102"/>
      <c r="G97" s="1103"/>
      <c r="H97" s="1103"/>
      <c r="I97" s="1103"/>
      <c r="P97" s="737"/>
      <c r="Q97" s="737"/>
      <c r="R97" s="737"/>
      <c r="S97" s="737"/>
      <c r="T97" s="737"/>
    </row>
    <row r="98" spans="1:20" ht="14.1" customHeight="1">
      <c r="A98" s="321"/>
      <c r="B98" s="8"/>
      <c r="C98" s="1713" t="s">
        <v>727</v>
      </c>
      <c r="D98" s="1716"/>
      <c r="E98" s="1716"/>
      <c r="F98" s="1716"/>
      <c r="G98" s="1716"/>
      <c r="H98" s="8"/>
      <c r="I98" s="8"/>
      <c r="P98" s="8"/>
      <c r="Q98" s="8"/>
      <c r="R98" s="8"/>
      <c r="S98" s="8"/>
      <c r="T98" s="8"/>
    </row>
    <row r="99" spans="1:20" ht="15.95" customHeight="1">
      <c r="A99" s="1734" t="s">
        <v>728</v>
      </c>
      <c r="B99" s="1735"/>
      <c r="C99" s="333"/>
      <c r="D99" s="333"/>
      <c r="E99" s="333"/>
      <c r="F99" s="333"/>
      <c r="G99" s="333"/>
      <c r="H99" s="333"/>
      <c r="I99" s="333"/>
      <c r="P99" s="8"/>
      <c r="Q99" s="8"/>
      <c r="R99" s="8"/>
      <c r="S99" s="8"/>
      <c r="T99" s="8"/>
    </row>
    <row r="100" spans="1:20" ht="15.95" customHeight="1">
      <c r="A100" s="1736"/>
      <c r="B100" s="1736"/>
      <c r="C100" s="1723" t="s">
        <v>524</v>
      </c>
      <c r="D100" s="1724"/>
      <c r="E100" s="1724"/>
      <c r="F100" s="1723" t="s">
        <v>525</v>
      </c>
      <c r="G100" s="1724"/>
      <c r="H100" s="1724"/>
      <c r="I100" s="1109" t="s">
        <v>139</v>
      </c>
      <c r="P100" s="8"/>
      <c r="Q100" s="8"/>
      <c r="R100" s="8"/>
      <c r="S100" s="8"/>
      <c r="T100" s="8"/>
    </row>
    <row r="101" spans="1:20" ht="12" customHeight="1">
      <c r="A101" s="1126" t="s">
        <v>526</v>
      </c>
      <c r="B101" s="1127" t="s">
        <v>632</v>
      </c>
      <c r="C101" s="1126" t="s">
        <v>527</v>
      </c>
      <c r="D101" s="1128" t="s">
        <v>528</v>
      </c>
      <c r="E101" s="1129" t="s">
        <v>529</v>
      </c>
      <c r="F101" s="1130" t="s">
        <v>530</v>
      </c>
      <c r="G101" s="1131" t="s">
        <v>531</v>
      </c>
      <c r="H101" s="1132" t="s">
        <v>532</v>
      </c>
      <c r="I101" s="1133" t="s">
        <v>533</v>
      </c>
      <c r="P101" s="8"/>
      <c r="Q101" s="8"/>
      <c r="R101" s="8"/>
      <c r="S101" s="8"/>
      <c r="T101" s="8"/>
    </row>
    <row r="102" spans="1:20" ht="15.75" customHeight="1">
      <c r="A102" s="1745" t="s">
        <v>534</v>
      </c>
      <c r="B102" s="1125" t="s">
        <v>535</v>
      </c>
      <c r="C102" s="1725" t="s">
        <v>671</v>
      </c>
      <c r="D102" s="1740" t="s">
        <v>536</v>
      </c>
      <c r="E102" s="1719" t="s">
        <v>537</v>
      </c>
      <c r="F102" s="1727" t="s">
        <v>672</v>
      </c>
      <c r="G102" s="1717" t="s">
        <v>538</v>
      </c>
      <c r="H102" s="1719" t="s">
        <v>539</v>
      </c>
      <c r="I102" s="1714" t="s">
        <v>540</v>
      </c>
      <c r="P102" s="8"/>
      <c r="Q102" s="8"/>
      <c r="R102" s="8"/>
      <c r="S102" s="8"/>
      <c r="T102" s="8"/>
    </row>
    <row r="103" spans="1:20" ht="14.1" customHeight="1">
      <c r="A103" s="1746"/>
      <c r="B103" s="1137"/>
      <c r="C103" s="1726"/>
      <c r="D103" s="1741"/>
      <c r="E103" s="1720"/>
      <c r="F103" s="1728"/>
      <c r="G103" s="1718"/>
      <c r="H103" s="1720"/>
      <c r="I103" s="1715"/>
      <c r="P103" s="8"/>
      <c r="Q103" s="8"/>
      <c r="R103" s="8"/>
      <c r="S103" s="8"/>
      <c r="T103" s="8"/>
    </row>
    <row r="104" spans="1:20" ht="14.1" customHeight="1">
      <c r="A104" s="1114">
        <v>1</v>
      </c>
      <c r="B104" s="1136"/>
      <c r="C104" s="1116"/>
      <c r="D104" s="1117"/>
      <c r="E104" s="1120" t="str">
        <f t="shared" ref="E104:E131" si="0">IF(OR(ISBLANK(C104),ISBLANK(D104)),"",C104/D104)</f>
        <v/>
      </c>
      <c r="F104" s="1116"/>
      <c r="G104" s="1117"/>
      <c r="H104" s="1120" t="str">
        <f t="shared" ref="H104:H131" si="1">IF(OR(ISBLANK(F104),ISBLANK(G104)),"",F104/G104)</f>
        <v/>
      </c>
      <c r="I104" s="1115" t="str">
        <f t="shared" ref="I104:I131" si="2">IF(OR(ISBLANK(D104),ISBLANK(G104)),"",MIN(E104,H104))</f>
        <v/>
      </c>
      <c r="P104" s="8"/>
      <c r="Q104" s="8"/>
      <c r="R104" s="8"/>
      <c r="S104" s="8"/>
      <c r="T104" s="8"/>
    </row>
    <row r="105" spans="1:20" ht="14.1" customHeight="1">
      <c r="A105" s="1105">
        <v>2</v>
      </c>
      <c r="B105" s="1136"/>
      <c r="C105" s="1116"/>
      <c r="D105" s="1117"/>
      <c r="E105" s="1121" t="str">
        <f t="shared" si="0"/>
        <v/>
      </c>
      <c r="F105" s="1116"/>
      <c r="G105" s="1117"/>
      <c r="H105" s="1121" t="str">
        <f t="shared" si="1"/>
        <v/>
      </c>
      <c r="I105" s="1110" t="str">
        <f t="shared" si="2"/>
        <v/>
      </c>
      <c r="P105" s="8"/>
      <c r="Q105" s="8"/>
      <c r="R105" s="8"/>
      <c r="S105" s="8"/>
      <c r="T105" s="8"/>
    </row>
    <row r="106" spans="1:20" ht="14.1" customHeight="1">
      <c r="A106" s="1104">
        <v>3</v>
      </c>
      <c r="B106" s="1136"/>
      <c r="C106" s="1116"/>
      <c r="D106" s="1117"/>
      <c r="E106" s="1121" t="str">
        <f t="shared" si="0"/>
        <v/>
      </c>
      <c r="F106" s="1116"/>
      <c r="G106" s="1117"/>
      <c r="H106" s="1121" t="str">
        <f t="shared" si="1"/>
        <v/>
      </c>
      <c r="I106" s="1110" t="str">
        <f t="shared" si="2"/>
        <v/>
      </c>
      <c r="P106" s="8"/>
      <c r="Q106" s="8"/>
      <c r="R106" s="8"/>
      <c r="S106" s="8"/>
      <c r="T106" s="8"/>
    </row>
    <row r="107" spans="1:20" ht="14.1" customHeight="1">
      <c r="A107" s="1105">
        <v>4</v>
      </c>
      <c r="B107" s="1136"/>
      <c r="C107" s="1116"/>
      <c r="D107" s="1117"/>
      <c r="E107" s="1121" t="str">
        <f t="shared" si="0"/>
        <v/>
      </c>
      <c r="F107" s="1116"/>
      <c r="G107" s="1117"/>
      <c r="H107" s="1121" t="str">
        <f t="shared" si="1"/>
        <v/>
      </c>
      <c r="I107" s="1110" t="str">
        <f t="shared" si="2"/>
        <v/>
      </c>
      <c r="P107" s="8"/>
      <c r="Q107" s="8"/>
      <c r="R107" s="8"/>
      <c r="S107" s="8"/>
      <c r="T107" s="8"/>
    </row>
    <row r="108" spans="1:20" ht="14.1" customHeight="1">
      <c r="A108" s="1104">
        <v>5</v>
      </c>
      <c r="B108" s="1136"/>
      <c r="C108" s="1116"/>
      <c r="D108" s="1117"/>
      <c r="E108" s="1121" t="str">
        <f t="shared" si="0"/>
        <v/>
      </c>
      <c r="F108" s="1116"/>
      <c r="G108" s="1117"/>
      <c r="H108" s="1121" t="str">
        <f t="shared" si="1"/>
        <v/>
      </c>
      <c r="I108" s="1110" t="str">
        <f t="shared" si="2"/>
        <v/>
      </c>
      <c r="P108" s="8"/>
      <c r="Q108" s="8"/>
      <c r="R108" s="8"/>
      <c r="S108" s="8"/>
      <c r="T108" s="8"/>
    </row>
    <row r="109" spans="1:20" ht="14.1" customHeight="1">
      <c r="A109" s="1105">
        <v>6</v>
      </c>
      <c r="B109" s="1136"/>
      <c r="C109" s="1116"/>
      <c r="D109" s="1117"/>
      <c r="E109" s="1121" t="str">
        <f t="shared" si="0"/>
        <v/>
      </c>
      <c r="F109" s="1116"/>
      <c r="G109" s="1117"/>
      <c r="H109" s="1121" t="str">
        <f t="shared" si="1"/>
        <v/>
      </c>
      <c r="I109" s="1110" t="str">
        <f t="shared" si="2"/>
        <v/>
      </c>
      <c r="P109" s="8"/>
      <c r="Q109" s="8"/>
      <c r="R109" s="8"/>
      <c r="S109" s="8"/>
      <c r="T109" s="8"/>
    </row>
    <row r="110" spans="1:20" ht="14.1" customHeight="1">
      <c r="A110" s="1104">
        <v>7</v>
      </c>
      <c r="B110" s="1136"/>
      <c r="C110" s="1116"/>
      <c r="D110" s="1117"/>
      <c r="E110" s="1121" t="str">
        <f t="shared" si="0"/>
        <v/>
      </c>
      <c r="F110" s="1116"/>
      <c r="G110" s="1117"/>
      <c r="H110" s="1121" t="str">
        <f t="shared" si="1"/>
        <v/>
      </c>
      <c r="I110" s="1110" t="str">
        <f t="shared" si="2"/>
        <v/>
      </c>
      <c r="P110" s="8"/>
      <c r="Q110" s="8"/>
      <c r="R110" s="8"/>
      <c r="S110" s="8"/>
      <c r="T110" s="8"/>
    </row>
    <row r="111" spans="1:20" ht="14.1" customHeight="1">
      <c r="A111" s="1105">
        <v>8</v>
      </c>
      <c r="B111" s="1136"/>
      <c r="C111" s="1116"/>
      <c r="D111" s="1117"/>
      <c r="E111" s="1121" t="str">
        <f t="shared" si="0"/>
        <v/>
      </c>
      <c r="F111" s="1116"/>
      <c r="G111" s="1117"/>
      <c r="H111" s="1121" t="str">
        <f t="shared" si="1"/>
        <v/>
      </c>
      <c r="I111" s="1110" t="str">
        <f t="shared" si="2"/>
        <v/>
      </c>
      <c r="P111" s="8"/>
      <c r="Q111" s="8"/>
      <c r="R111" s="8"/>
      <c r="S111" s="8"/>
      <c r="T111" s="8"/>
    </row>
    <row r="112" spans="1:20" ht="14.1" customHeight="1">
      <c r="A112" s="1104">
        <v>9</v>
      </c>
      <c r="B112" s="1136"/>
      <c r="C112" s="1116"/>
      <c r="D112" s="1117"/>
      <c r="E112" s="1121" t="str">
        <f t="shared" si="0"/>
        <v/>
      </c>
      <c r="F112" s="1116"/>
      <c r="G112" s="1117"/>
      <c r="H112" s="1121" t="str">
        <f t="shared" si="1"/>
        <v/>
      </c>
      <c r="I112" s="1110" t="str">
        <f t="shared" si="2"/>
        <v/>
      </c>
      <c r="P112" s="8"/>
      <c r="Q112" s="8"/>
      <c r="R112" s="8"/>
      <c r="S112" s="8"/>
      <c r="T112" s="8"/>
    </row>
    <row r="113" spans="1:20" ht="14.1" customHeight="1">
      <c r="A113" s="1105">
        <v>10</v>
      </c>
      <c r="B113" s="1136"/>
      <c r="C113" s="1116"/>
      <c r="D113" s="1117"/>
      <c r="E113" s="1121" t="str">
        <f t="shared" si="0"/>
        <v/>
      </c>
      <c r="F113" s="1116"/>
      <c r="G113" s="1117"/>
      <c r="H113" s="1121" t="str">
        <f t="shared" si="1"/>
        <v/>
      </c>
      <c r="I113" s="1110" t="str">
        <f t="shared" si="2"/>
        <v/>
      </c>
      <c r="P113" s="8"/>
      <c r="Q113" s="8"/>
      <c r="R113" s="8"/>
      <c r="S113" s="8"/>
      <c r="T113" s="8"/>
    </row>
    <row r="114" spans="1:20" ht="14.1" customHeight="1">
      <c r="A114" s="1104">
        <v>11</v>
      </c>
      <c r="B114" s="1136"/>
      <c r="C114" s="1116"/>
      <c r="D114" s="1117"/>
      <c r="E114" s="1121" t="str">
        <f t="shared" si="0"/>
        <v/>
      </c>
      <c r="F114" s="1116"/>
      <c r="G114" s="1117"/>
      <c r="H114" s="1121" t="str">
        <f t="shared" si="1"/>
        <v/>
      </c>
      <c r="I114" s="1110" t="str">
        <f t="shared" si="2"/>
        <v/>
      </c>
      <c r="P114" s="8"/>
      <c r="Q114" s="8"/>
      <c r="R114" s="8"/>
      <c r="S114" s="8"/>
      <c r="T114" s="8"/>
    </row>
    <row r="115" spans="1:20" ht="14.1" customHeight="1">
      <c r="A115" s="1105">
        <v>12</v>
      </c>
      <c r="B115" s="1136"/>
      <c r="C115" s="1116"/>
      <c r="D115" s="1117"/>
      <c r="E115" s="1121" t="str">
        <f t="shared" si="0"/>
        <v/>
      </c>
      <c r="F115" s="1116"/>
      <c r="G115" s="1117"/>
      <c r="H115" s="1121" t="str">
        <f t="shared" si="1"/>
        <v/>
      </c>
      <c r="I115" s="1110" t="str">
        <f t="shared" si="2"/>
        <v/>
      </c>
      <c r="P115" s="8"/>
      <c r="Q115" s="8"/>
      <c r="R115" s="8"/>
      <c r="S115" s="8"/>
      <c r="T115" s="8"/>
    </row>
    <row r="116" spans="1:20" ht="14.1" customHeight="1">
      <c r="A116" s="1104">
        <v>13</v>
      </c>
      <c r="B116" s="1136"/>
      <c r="C116" s="1116"/>
      <c r="D116" s="1117"/>
      <c r="E116" s="1121" t="str">
        <f t="shared" si="0"/>
        <v/>
      </c>
      <c r="F116" s="1116"/>
      <c r="G116" s="1117"/>
      <c r="H116" s="1121" t="str">
        <f t="shared" si="1"/>
        <v/>
      </c>
      <c r="I116" s="1110" t="str">
        <f t="shared" si="2"/>
        <v/>
      </c>
      <c r="P116" s="8"/>
      <c r="Q116" s="8"/>
      <c r="R116" s="8"/>
      <c r="S116" s="8"/>
      <c r="T116" s="8"/>
    </row>
    <row r="117" spans="1:20" ht="14.1" customHeight="1">
      <c r="A117" s="1105">
        <v>14</v>
      </c>
      <c r="B117" s="1136"/>
      <c r="C117" s="1116"/>
      <c r="D117" s="1117"/>
      <c r="E117" s="1121" t="str">
        <f t="shared" si="0"/>
        <v/>
      </c>
      <c r="F117" s="1116"/>
      <c r="G117" s="1117"/>
      <c r="H117" s="1121" t="str">
        <f t="shared" si="1"/>
        <v/>
      </c>
      <c r="I117" s="1110" t="str">
        <f t="shared" si="2"/>
        <v/>
      </c>
      <c r="P117" s="8"/>
      <c r="Q117" s="8"/>
      <c r="R117" s="8"/>
      <c r="S117" s="8"/>
      <c r="T117" s="8"/>
    </row>
    <row r="118" spans="1:20" ht="14.1" customHeight="1">
      <c r="A118" s="1104">
        <v>15</v>
      </c>
      <c r="B118" s="1136"/>
      <c r="C118" s="1116"/>
      <c r="D118" s="1117"/>
      <c r="E118" s="1121" t="str">
        <f t="shared" si="0"/>
        <v/>
      </c>
      <c r="F118" s="1116"/>
      <c r="G118" s="1117"/>
      <c r="H118" s="1121" t="str">
        <f t="shared" si="1"/>
        <v/>
      </c>
      <c r="I118" s="1110" t="str">
        <f t="shared" si="2"/>
        <v/>
      </c>
      <c r="P118" s="8"/>
      <c r="Q118" s="8"/>
      <c r="R118" s="8"/>
      <c r="S118" s="8"/>
      <c r="T118" s="8"/>
    </row>
    <row r="119" spans="1:20" ht="14.1" customHeight="1">
      <c r="A119" s="1105">
        <v>16</v>
      </c>
      <c r="B119" s="1136"/>
      <c r="C119" s="1116"/>
      <c r="D119" s="1117"/>
      <c r="E119" s="1121" t="str">
        <f t="shared" si="0"/>
        <v/>
      </c>
      <c r="F119" s="1116"/>
      <c r="G119" s="1117"/>
      <c r="H119" s="1121" t="str">
        <f t="shared" si="1"/>
        <v/>
      </c>
      <c r="I119" s="1110" t="str">
        <f t="shared" si="2"/>
        <v/>
      </c>
      <c r="P119" s="8"/>
      <c r="Q119" s="8"/>
      <c r="R119" s="8"/>
      <c r="S119" s="8"/>
      <c r="T119" s="8"/>
    </row>
    <row r="120" spans="1:20" ht="14.1" customHeight="1">
      <c r="A120" s="1104">
        <v>17</v>
      </c>
      <c r="B120" s="1136"/>
      <c r="C120" s="1116"/>
      <c r="D120" s="1117"/>
      <c r="E120" s="1121" t="str">
        <f t="shared" si="0"/>
        <v/>
      </c>
      <c r="F120" s="1116"/>
      <c r="G120" s="1117"/>
      <c r="H120" s="1121" t="str">
        <f t="shared" si="1"/>
        <v/>
      </c>
      <c r="I120" s="1110" t="str">
        <f t="shared" si="2"/>
        <v/>
      </c>
      <c r="P120" s="8"/>
      <c r="Q120" s="8"/>
      <c r="R120" s="8"/>
      <c r="S120" s="8"/>
      <c r="T120" s="8"/>
    </row>
    <row r="121" spans="1:20" ht="14.1" customHeight="1">
      <c r="A121" s="1105">
        <v>18</v>
      </c>
      <c r="B121" s="1136"/>
      <c r="C121" s="1116"/>
      <c r="D121" s="1117"/>
      <c r="E121" s="1121" t="str">
        <f t="shared" si="0"/>
        <v/>
      </c>
      <c r="F121" s="1116"/>
      <c r="G121" s="1117"/>
      <c r="H121" s="1121" t="str">
        <f t="shared" si="1"/>
        <v/>
      </c>
      <c r="I121" s="1110" t="str">
        <f t="shared" si="2"/>
        <v/>
      </c>
      <c r="P121" s="8"/>
      <c r="Q121" s="8"/>
      <c r="R121" s="8"/>
      <c r="S121" s="8"/>
      <c r="T121" s="8"/>
    </row>
    <row r="122" spans="1:20" ht="14.1" customHeight="1">
      <c r="A122" s="1104">
        <v>19</v>
      </c>
      <c r="B122" s="1136"/>
      <c r="C122" s="1116"/>
      <c r="D122" s="1117"/>
      <c r="E122" s="1121" t="str">
        <f t="shared" si="0"/>
        <v/>
      </c>
      <c r="F122" s="1116"/>
      <c r="G122" s="1117"/>
      <c r="H122" s="1121" t="str">
        <f t="shared" si="1"/>
        <v/>
      </c>
      <c r="I122" s="1110" t="str">
        <f t="shared" si="2"/>
        <v/>
      </c>
      <c r="P122" s="8"/>
      <c r="Q122" s="8"/>
      <c r="R122" s="8"/>
      <c r="S122" s="8"/>
      <c r="T122" s="8"/>
    </row>
    <row r="123" spans="1:20" ht="14.1" customHeight="1">
      <c r="A123" s="1105">
        <v>20</v>
      </c>
      <c r="B123" s="1136"/>
      <c r="C123" s="1116"/>
      <c r="D123" s="1117"/>
      <c r="E123" s="1121" t="str">
        <f t="shared" si="0"/>
        <v/>
      </c>
      <c r="F123" s="1116"/>
      <c r="G123" s="1117"/>
      <c r="H123" s="1121" t="str">
        <f t="shared" si="1"/>
        <v/>
      </c>
      <c r="I123" s="1110" t="str">
        <f t="shared" si="2"/>
        <v/>
      </c>
      <c r="P123" s="8"/>
      <c r="Q123" s="8"/>
      <c r="R123" s="8"/>
      <c r="S123" s="8"/>
      <c r="T123" s="8"/>
    </row>
    <row r="124" spans="1:20" ht="14.1" customHeight="1">
      <c r="A124" s="1104">
        <v>21</v>
      </c>
      <c r="B124" s="1136"/>
      <c r="C124" s="1116"/>
      <c r="D124" s="1117"/>
      <c r="E124" s="1121" t="str">
        <f t="shared" si="0"/>
        <v/>
      </c>
      <c r="F124" s="1116"/>
      <c r="G124" s="1117"/>
      <c r="H124" s="1121" t="str">
        <f t="shared" si="1"/>
        <v/>
      </c>
      <c r="I124" s="1110" t="str">
        <f t="shared" si="2"/>
        <v/>
      </c>
      <c r="P124" s="8"/>
      <c r="Q124" s="8"/>
      <c r="R124" s="8"/>
      <c r="S124" s="8"/>
      <c r="T124" s="8"/>
    </row>
    <row r="125" spans="1:20" ht="14.1" customHeight="1">
      <c r="A125" s="1105">
        <v>22</v>
      </c>
      <c r="B125" s="1136"/>
      <c r="C125" s="1116"/>
      <c r="D125" s="1117"/>
      <c r="E125" s="1121" t="str">
        <f t="shared" si="0"/>
        <v/>
      </c>
      <c r="F125" s="1116"/>
      <c r="G125" s="1117"/>
      <c r="H125" s="1121" t="str">
        <f t="shared" si="1"/>
        <v/>
      </c>
      <c r="I125" s="1110" t="str">
        <f t="shared" si="2"/>
        <v/>
      </c>
      <c r="P125" s="8"/>
      <c r="Q125" s="8"/>
      <c r="R125" s="8"/>
      <c r="S125" s="8"/>
      <c r="T125" s="8"/>
    </row>
    <row r="126" spans="1:20" ht="14.1" customHeight="1">
      <c r="A126" s="1104">
        <v>23</v>
      </c>
      <c r="B126" s="1136"/>
      <c r="C126" s="1116"/>
      <c r="D126" s="1117"/>
      <c r="E126" s="1121" t="str">
        <f t="shared" si="0"/>
        <v/>
      </c>
      <c r="F126" s="1116"/>
      <c r="G126" s="1117"/>
      <c r="H126" s="1121" t="str">
        <f t="shared" si="1"/>
        <v/>
      </c>
      <c r="I126" s="1110" t="str">
        <f t="shared" si="2"/>
        <v/>
      </c>
      <c r="P126" s="8"/>
      <c r="Q126" s="8"/>
      <c r="R126" s="8"/>
      <c r="S126" s="8"/>
      <c r="T126" s="8"/>
    </row>
    <row r="127" spans="1:20" ht="14.1" customHeight="1">
      <c r="A127" s="1105">
        <v>24</v>
      </c>
      <c r="B127" s="1136"/>
      <c r="C127" s="1116"/>
      <c r="D127" s="1117"/>
      <c r="E127" s="1121" t="str">
        <f t="shared" si="0"/>
        <v/>
      </c>
      <c r="F127" s="1116"/>
      <c r="G127" s="1117"/>
      <c r="H127" s="1121" t="str">
        <f t="shared" si="1"/>
        <v/>
      </c>
      <c r="I127" s="1110" t="str">
        <f t="shared" si="2"/>
        <v/>
      </c>
      <c r="P127" s="8"/>
      <c r="Q127" s="8"/>
      <c r="R127" s="8"/>
      <c r="S127" s="8"/>
      <c r="T127" s="8"/>
    </row>
    <row r="128" spans="1:20" ht="14.1" customHeight="1">
      <c r="A128" s="1104">
        <v>25</v>
      </c>
      <c r="B128" s="1136"/>
      <c r="C128" s="1116"/>
      <c r="D128" s="1117"/>
      <c r="E128" s="1121" t="str">
        <f t="shared" si="0"/>
        <v/>
      </c>
      <c r="F128" s="1116"/>
      <c r="G128" s="1117"/>
      <c r="H128" s="1121" t="str">
        <f t="shared" si="1"/>
        <v/>
      </c>
      <c r="I128" s="1110" t="str">
        <f t="shared" si="2"/>
        <v/>
      </c>
      <c r="P128" s="8"/>
      <c r="Q128" s="8"/>
      <c r="R128" s="8"/>
      <c r="S128" s="8"/>
      <c r="T128" s="8"/>
    </row>
    <row r="129" spans="1:20" ht="14.1" customHeight="1">
      <c r="A129" s="1105">
        <v>26</v>
      </c>
      <c r="B129" s="1136"/>
      <c r="C129" s="1116"/>
      <c r="D129" s="1117"/>
      <c r="E129" s="1121" t="str">
        <f t="shared" si="0"/>
        <v/>
      </c>
      <c r="F129" s="1116"/>
      <c r="G129" s="1117"/>
      <c r="H129" s="1121" t="str">
        <f t="shared" si="1"/>
        <v/>
      </c>
      <c r="I129" s="1110" t="str">
        <f t="shared" si="2"/>
        <v/>
      </c>
      <c r="P129" s="8"/>
      <c r="Q129" s="8"/>
      <c r="R129" s="8"/>
      <c r="S129" s="8"/>
      <c r="T129" s="8"/>
    </row>
    <row r="130" spans="1:20" ht="14.1" customHeight="1">
      <c r="A130" s="1104">
        <v>27</v>
      </c>
      <c r="B130" s="1136"/>
      <c r="C130" s="1116"/>
      <c r="D130" s="1117"/>
      <c r="E130" s="1121" t="str">
        <f t="shared" si="0"/>
        <v/>
      </c>
      <c r="F130" s="1116"/>
      <c r="G130" s="1117"/>
      <c r="H130" s="1121" t="str">
        <f t="shared" si="1"/>
        <v/>
      </c>
      <c r="I130" s="1110" t="str">
        <f t="shared" si="2"/>
        <v/>
      </c>
      <c r="P130" s="8"/>
      <c r="Q130" s="8"/>
      <c r="R130" s="8"/>
      <c r="S130" s="8"/>
      <c r="T130" s="8"/>
    </row>
    <row r="131" spans="1:20" ht="14.1" customHeight="1">
      <c r="A131" s="1106">
        <v>28</v>
      </c>
      <c r="B131" s="1136"/>
      <c r="C131" s="1116"/>
      <c r="D131" s="1117"/>
      <c r="E131" s="1122" t="str">
        <f t="shared" si="0"/>
        <v/>
      </c>
      <c r="F131" s="1116"/>
      <c r="G131" s="1117"/>
      <c r="H131" s="1122" t="str">
        <f t="shared" si="1"/>
        <v/>
      </c>
      <c r="I131" s="1111" t="str">
        <f t="shared" si="2"/>
        <v/>
      </c>
    </row>
    <row r="132" spans="1:20" ht="14.1" customHeight="1">
      <c r="A132" s="1107"/>
      <c r="B132" s="1108" t="s">
        <v>541</v>
      </c>
      <c r="C132" s="1118">
        <f>SUM(C104:C131)</f>
        <v>0</v>
      </c>
      <c r="D132" s="1119">
        <f>SUM(D104:D131)</f>
        <v>0</v>
      </c>
      <c r="E132" s="1123" t="str">
        <f>IF(D132&lt;0.01,"",C132/D132)</f>
        <v/>
      </c>
      <c r="F132" s="1118">
        <f>SUM(F104:F131)</f>
        <v>0</v>
      </c>
      <c r="G132" s="1119">
        <f>SUM(G104:G131)</f>
        <v>0</v>
      </c>
      <c r="H132" s="1123" t="str">
        <f>IF(G132&lt;0.01,"",F132/G132)</f>
        <v/>
      </c>
      <c r="I132" s="1112" t="str">
        <f>IF(OR(D132&lt;0.01,G132&lt;0.01),"",MIN(E132,H132))</f>
        <v/>
      </c>
      <c r="J132" s="334"/>
    </row>
    <row r="133" spans="1:20">
      <c r="A133" s="335" t="s">
        <v>542</v>
      </c>
      <c r="H133" s="336" t="s">
        <v>481</v>
      </c>
      <c r="I133" s="337">
        <f>+SUM('Development Budget'!K75:L75)</f>
        <v>0</v>
      </c>
    </row>
    <row r="134" spans="1:20">
      <c r="I134" s="338" t="s">
        <v>673</v>
      </c>
      <c r="J134" s="339"/>
    </row>
    <row r="135" spans="1:20">
      <c r="H135" s="340" t="s">
        <v>633</v>
      </c>
      <c r="I135" s="341">
        <v>0</v>
      </c>
      <c r="J135" s="339"/>
    </row>
    <row r="136" spans="1:20">
      <c r="G136" s="8"/>
      <c r="H136" s="340" t="s">
        <v>634</v>
      </c>
      <c r="I136" s="341">
        <v>0</v>
      </c>
      <c r="J136" s="339"/>
    </row>
    <row r="137" spans="1:20">
      <c r="G137" s="342"/>
      <c r="H137" s="340" t="s">
        <v>635</v>
      </c>
      <c r="I137" s="341">
        <v>0</v>
      </c>
      <c r="J137" s="339"/>
    </row>
    <row r="138" spans="1:20">
      <c r="G138" s="8"/>
      <c r="H138" s="340" t="s">
        <v>636</v>
      </c>
      <c r="I138" s="341">
        <v>0</v>
      </c>
      <c r="J138" s="339"/>
    </row>
    <row r="139" spans="1:20">
      <c r="H139" s="340" t="s">
        <v>637</v>
      </c>
      <c r="I139" s="253">
        <v>0</v>
      </c>
      <c r="J139" s="342"/>
    </row>
    <row r="140" spans="1:20" ht="15.95" customHeight="1">
      <c r="H140" s="60" t="s">
        <v>638</v>
      </c>
      <c r="I140" s="342">
        <f>I133-I135-I136-I137-I138-I139</f>
        <v>0</v>
      </c>
      <c r="J140" s="8"/>
    </row>
    <row r="141" spans="1:20">
      <c r="H141" s="343" t="s">
        <v>639</v>
      </c>
      <c r="I141" s="344">
        <v>0</v>
      </c>
      <c r="J141" s="334">
        <v>0.3</v>
      </c>
    </row>
    <row r="142" spans="1:20">
      <c r="H142" s="345" t="s">
        <v>688</v>
      </c>
      <c r="I142" s="346">
        <f>I140*I141</f>
        <v>0</v>
      </c>
      <c r="J142" s="60"/>
      <c r="K142" s="60"/>
      <c r="L142" s="60"/>
      <c r="M142" s="347"/>
      <c r="N142" s="347"/>
      <c r="O142" s="347"/>
      <c r="P142" s="347"/>
    </row>
    <row r="143" spans="1:20">
      <c r="H143" s="343" t="s">
        <v>640</v>
      </c>
      <c r="I143" s="348">
        <f>I140+I142</f>
        <v>0</v>
      </c>
    </row>
    <row r="144" spans="1:20">
      <c r="H144" s="343" t="s">
        <v>641</v>
      </c>
      <c r="I144" s="418" t="str">
        <f>I132</f>
        <v/>
      </c>
      <c r="J144" s="334"/>
      <c r="K144" s="349"/>
    </row>
    <row r="145" spans="1:20">
      <c r="H145" s="343" t="s">
        <v>687</v>
      </c>
      <c r="I145" s="350">
        <f>IF(I143&gt;0,I143*I144,0)</f>
        <v>0</v>
      </c>
    </row>
    <row r="146" spans="1:20" ht="15.95" customHeight="1">
      <c r="A146" s="55"/>
      <c r="B146" s="1342"/>
      <c r="C146" s="8"/>
      <c r="D146" s="8"/>
      <c r="E146" s="8"/>
      <c r="H146" s="351" t="s">
        <v>685</v>
      </c>
      <c r="I146" s="366">
        <v>0.09</v>
      </c>
    </row>
    <row r="147" spans="1:20" ht="15.95" customHeight="1">
      <c r="A147" s="55"/>
      <c r="B147" s="62"/>
      <c r="C147" s="8"/>
      <c r="D147" s="8"/>
      <c r="E147" s="8"/>
      <c r="F147" s="351"/>
      <c r="G147" s="352"/>
      <c r="H147" s="355" t="s">
        <v>645</v>
      </c>
      <c r="I147" s="342">
        <f>I145*I146</f>
        <v>0</v>
      </c>
    </row>
    <row r="148" spans="1:20" ht="14.1" customHeight="1">
      <c r="A148" s="321"/>
      <c r="B148" s="8"/>
      <c r="C148" s="1713" t="s">
        <v>674</v>
      </c>
      <c r="D148" s="1716"/>
      <c r="E148" s="1716"/>
      <c r="F148" s="1716"/>
      <c r="G148" s="1716"/>
      <c r="H148" s="8"/>
      <c r="I148" s="8"/>
      <c r="P148" s="8"/>
      <c r="Q148" s="8"/>
      <c r="R148" s="8"/>
      <c r="S148" s="8"/>
      <c r="T148" s="8"/>
    </row>
    <row r="149" spans="1:20" ht="15.95" customHeight="1">
      <c r="A149" s="1742" t="s">
        <v>675</v>
      </c>
      <c r="B149" s="1743"/>
      <c r="C149" s="333"/>
      <c r="D149" s="333"/>
      <c r="E149" s="333"/>
      <c r="F149" s="333"/>
      <c r="G149" s="333"/>
      <c r="H149" s="333"/>
      <c r="I149" s="333"/>
      <c r="P149" s="8"/>
      <c r="Q149" s="8"/>
      <c r="R149" s="8"/>
      <c r="S149" s="8"/>
      <c r="T149" s="8"/>
    </row>
    <row r="150" spans="1:20" ht="15.95" customHeight="1">
      <c r="A150" s="1744"/>
      <c r="B150" s="1744"/>
      <c r="C150" s="1723" t="s">
        <v>524</v>
      </c>
      <c r="D150" s="1724"/>
      <c r="E150" s="1724"/>
      <c r="F150" s="1723" t="s">
        <v>525</v>
      </c>
      <c r="G150" s="1724"/>
      <c r="H150" s="1724"/>
      <c r="I150" s="1109" t="s">
        <v>139</v>
      </c>
      <c r="P150" s="8"/>
      <c r="Q150" s="8"/>
      <c r="R150" s="8"/>
      <c r="S150" s="8"/>
      <c r="T150" s="8"/>
    </row>
    <row r="151" spans="1:20" ht="12" customHeight="1">
      <c r="A151" s="1126" t="s">
        <v>526</v>
      </c>
      <c r="B151" s="1113" t="s">
        <v>632</v>
      </c>
      <c r="C151" s="1126" t="s">
        <v>527</v>
      </c>
      <c r="D151" s="1128" t="s">
        <v>528</v>
      </c>
      <c r="E151" s="1129" t="s">
        <v>529</v>
      </c>
      <c r="F151" s="1130" t="s">
        <v>530</v>
      </c>
      <c r="G151" s="1131" t="s">
        <v>531</v>
      </c>
      <c r="H151" s="1132" t="s">
        <v>532</v>
      </c>
      <c r="I151" s="1133" t="s">
        <v>533</v>
      </c>
      <c r="P151" s="8"/>
      <c r="Q151" s="8"/>
      <c r="R151" s="8"/>
      <c r="S151" s="8"/>
      <c r="T151" s="8"/>
    </row>
    <row r="152" spans="1:20" ht="15.95" customHeight="1">
      <c r="A152" s="1745" t="s">
        <v>534</v>
      </c>
      <c r="B152" s="1125" t="s">
        <v>535</v>
      </c>
      <c r="C152" s="1725" t="s">
        <v>671</v>
      </c>
      <c r="D152" s="1740" t="s">
        <v>536</v>
      </c>
      <c r="E152" s="1719" t="s">
        <v>537</v>
      </c>
      <c r="F152" s="1727" t="s">
        <v>672</v>
      </c>
      <c r="G152" s="1717" t="s">
        <v>538</v>
      </c>
      <c r="H152" s="1719" t="s">
        <v>539</v>
      </c>
      <c r="I152" s="1714" t="s">
        <v>540</v>
      </c>
      <c r="P152" s="8"/>
      <c r="Q152" s="8"/>
      <c r="R152" s="8"/>
      <c r="S152" s="8"/>
      <c r="T152" s="8"/>
    </row>
    <row r="153" spans="1:20" ht="14.1" customHeight="1">
      <c r="A153" s="1746"/>
      <c r="B153" s="1137">
        <f>B103</f>
        <v>0</v>
      </c>
      <c r="C153" s="1726"/>
      <c r="D153" s="1741"/>
      <c r="E153" s="1720"/>
      <c r="F153" s="1728"/>
      <c r="G153" s="1718"/>
      <c r="H153" s="1720"/>
      <c r="I153" s="1715"/>
      <c r="P153" s="8"/>
      <c r="Q153" s="8"/>
      <c r="R153" s="8"/>
      <c r="S153" s="8"/>
      <c r="T153" s="8"/>
    </row>
    <row r="154" spans="1:20" ht="14.1" customHeight="1">
      <c r="A154" s="1114">
        <v>1</v>
      </c>
      <c r="B154" s="1136" t="str">
        <f>IF(B104&gt;0,B104,"")</f>
        <v/>
      </c>
      <c r="C154" s="1116"/>
      <c r="D154" s="1135" t="str">
        <f>IF(D104&gt;0,D104,"")</f>
        <v/>
      </c>
      <c r="E154" s="1120" t="str">
        <f t="shared" ref="E154:E181" si="3">IF(OR(ISBLANK(C154),ISBLANK(D154)),"",C154/D154)</f>
        <v/>
      </c>
      <c r="F154" s="1116"/>
      <c r="G154" s="1135" t="str">
        <f>IF(G104&gt;0,G104,"")</f>
        <v/>
      </c>
      <c r="H154" s="1120" t="str">
        <f t="shared" ref="H154:H181" si="4">IF(OR(ISBLANK(F154),ISBLANK(G154)),"",F154/G154)</f>
        <v/>
      </c>
      <c r="I154" s="1115">
        <f t="shared" ref="I154:I181" si="5">IF(OR(ISBLANK(D154),ISBLANK(G154)),"",MIN(E154,H154))</f>
        <v>0</v>
      </c>
      <c r="P154" s="8"/>
      <c r="Q154" s="8"/>
      <c r="R154" s="8"/>
      <c r="S154" s="8"/>
      <c r="T154" s="8"/>
    </row>
    <row r="155" spans="1:20" ht="14.1" customHeight="1">
      <c r="A155" s="1105">
        <v>2</v>
      </c>
      <c r="B155" s="1136" t="str">
        <f t="shared" ref="B155:B181" si="6">IF(B105&gt;0,B105,"")</f>
        <v/>
      </c>
      <c r="C155" s="1116"/>
      <c r="D155" s="1135" t="str">
        <f>IF(D105&gt;0,D105,"")</f>
        <v/>
      </c>
      <c r="E155" s="1121" t="str">
        <f t="shared" si="3"/>
        <v/>
      </c>
      <c r="F155" s="1116"/>
      <c r="G155" s="1135" t="str">
        <f>IF(G105&gt;0,G105,"")</f>
        <v/>
      </c>
      <c r="H155" s="1121" t="str">
        <f t="shared" si="4"/>
        <v/>
      </c>
      <c r="I155" s="1110">
        <f t="shared" si="5"/>
        <v>0</v>
      </c>
      <c r="P155" s="8"/>
      <c r="Q155" s="8"/>
      <c r="R155" s="8"/>
      <c r="S155" s="8"/>
      <c r="T155" s="8"/>
    </row>
    <row r="156" spans="1:20" ht="14.1" customHeight="1">
      <c r="A156" s="1104">
        <v>3</v>
      </c>
      <c r="B156" s="1136" t="str">
        <f t="shared" si="6"/>
        <v/>
      </c>
      <c r="C156" s="1116"/>
      <c r="D156" s="1135" t="str">
        <f t="shared" ref="D156:D181" si="7">IF(D106&gt;0,D106,"")</f>
        <v/>
      </c>
      <c r="E156" s="1121" t="str">
        <f t="shared" si="3"/>
        <v/>
      </c>
      <c r="F156" s="1116"/>
      <c r="G156" s="1135" t="str">
        <f t="shared" ref="G156:G181" si="8">IF(G106&gt;0,G106,"")</f>
        <v/>
      </c>
      <c r="H156" s="1121" t="str">
        <f t="shared" si="4"/>
        <v/>
      </c>
      <c r="I156" s="1110">
        <f t="shared" si="5"/>
        <v>0</v>
      </c>
      <c r="P156" s="8"/>
      <c r="Q156" s="8"/>
      <c r="R156" s="8"/>
      <c r="S156" s="8"/>
      <c r="T156" s="8"/>
    </row>
    <row r="157" spans="1:20" ht="14.1" customHeight="1">
      <c r="A157" s="1105">
        <v>4</v>
      </c>
      <c r="B157" s="1136" t="str">
        <f t="shared" si="6"/>
        <v/>
      </c>
      <c r="C157" s="1116"/>
      <c r="D157" s="1135" t="str">
        <f t="shared" si="7"/>
        <v/>
      </c>
      <c r="E157" s="1121" t="str">
        <f t="shared" si="3"/>
        <v/>
      </c>
      <c r="F157" s="1116"/>
      <c r="G157" s="1135" t="str">
        <f t="shared" si="8"/>
        <v/>
      </c>
      <c r="H157" s="1121" t="str">
        <f t="shared" si="4"/>
        <v/>
      </c>
      <c r="I157" s="1110">
        <f t="shared" si="5"/>
        <v>0</v>
      </c>
      <c r="P157" s="8"/>
      <c r="Q157" s="8"/>
      <c r="R157" s="8"/>
      <c r="S157" s="8"/>
      <c r="T157" s="8"/>
    </row>
    <row r="158" spans="1:20" ht="14.1" customHeight="1">
      <c r="A158" s="1104">
        <v>5</v>
      </c>
      <c r="B158" s="1136" t="str">
        <f t="shared" si="6"/>
        <v/>
      </c>
      <c r="C158" s="1116"/>
      <c r="D158" s="1135" t="str">
        <f t="shared" si="7"/>
        <v/>
      </c>
      <c r="E158" s="1121" t="str">
        <f t="shared" si="3"/>
        <v/>
      </c>
      <c r="F158" s="1116"/>
      <c r="G158" s="1135" t="str">
        <f t="shared" si="8"/>
        <v/>
      </c>
      <c r="H158" s="1121" t="str">
        <f t="shared" si="4"/>
        <v/>
      </c>
      <c r="I158" s="1110">
        <f t="shared" si="5"/>
        <v>0</v>
      </c>
      <c r="P158" s="8"/>
      <c r="Q158" s="8"/>
      <c r="R158" s="8"/>
      <c r="S158" s="8"/>
      <c r="T158" s="8"/>
    </row>
    <row r="159" spans="1:20" ht="14.1" customHeight="1">
      <c r="A159" s="1105">
        <v>6</v>
      </c>
      <c r="B159" s="1136" t="str">
        <f t="shared" si="6"/>
        <v/>
      </c>
      <c r="C159" s="1116"/>
      <c r="D159" s="1135" t="str">
        <f t="shared" si="7"/>
        <v/>
      </c>
      <c r="E159" s="1121" t="str">
        <f t="shared" si="3"/>
        <v/>
      </c>
      <c r="F159" s="1116"/>
      <c r="G159" s="1135" t="str">
        <f t="shared" si="8"/>
        <v/>
      </c>
      <c r="H159" s="1121" t="str">
        <f t="shared" si="4"/>
        <v/>
      </c>
      <c r="I159" s="1110">
        <f t="shared" si="5"/>
        <v>0</v>
      </c>
      <c r="P159" s="8"/>
      <c r="Q159" s="8"/>
      <c r="R159" s="8"/>
      <c r="S159" s="8"/>
      <c r="T159" s="8"/>
    </row>
    <row r="160" spans="1:20" ht="14.1" customHeight="1">
      <c r="A160" s="1104">
        <v>7</v>
      </c>
      <c r="B160" s="1136" t="str">
        <f t="shared" si="6"/>
        <v/>
      </c>
      <c r="C160" s="1116"/>
      <c r="D160" s="1135" t="str">
        <f t="shared" si="7"/>
        <v/>
      </c>
      <c r="E160" s="1121" t="str">
        <f t="shared" si="3"/>
        <v/>
      </c>
      <c r="F160" s="1116"/>
      <c r="G160" s="1135" t="str">
        <f t="shared" si="8"/>
        <v/>
      </c>
      <c r="H160" s="1121" t="str">
        <f t="shared" si="4"/>
        <v/>
      </c>
      <c r="I160" s="1110">
        <f t="shared" si="5"/>
        <v>0</v>
      </c>
      <c r="P160" s="8"/>
      <c r="Q160" s="8"/>
      <c r="R160" s="8"/>
      <c r="S160" s="8"/>
      <c r="T160" s="8"/>
    </row>
    <row r="161" spans="1:20" ht="14.1" customHeight="1">
      <c r="A161" s="1105">
        <v>8</v>
      </c>
      <c r="B161" s="1136" t="str">
        <f t="shared" si="6"/>
        <v/>
      </c>
      <c r="C161" s="1116"/>
      <c r="D161" s="1135" t="str">
        <f t="shared" si="7"/>
        <v/>
      </c>
      <c r="E161" s="1121" t="str">
        <f t="shared" si="3"/>
        <v/>
      </c>
      <c r="F161" s="1116"/>
      <c r="G161" s="1135" t="str">
        <f t="shared" si="8"/>
        <v/>
      </c>
      <c r="H161" s="1121" t="str">
        <f t="shared" si="4"/>
        <v/>
      </c>
      <c r="I161" s="1110">
        <f t="shared" si="5"/>
        <v>0</v>
      </c>
      <c r="P161" s="8"/>
      <c r="Q161" s="8"/>
      <c r="R161" s="8"/>
      <c r="S161" s="8"/>
      <c r="T161" s="8"/>
    </row>
    <row r="162" spans="1:20" ht="14.1" customHeight="1">
      <c r="A162" s="1104">
        <v>9</v>
      </c>
      <c r="B162" s="1136" t="str">
        <f t="shared" si="6"/>
        <v/>
      </c>
      <c r="C162" s="1116"/>
      <c r="D162" s="1135" t="str">
        <f t="shared" si="7"/>
        <v/>
      </c>
      <c r="E162" s="1121" t="str">
        <f t="shared" si="3"/>
        <v/>
      </c>
      <c r="F162" s="1116"/>
      <c r="G162" s="1135" t="str">
        <f t="shared" si="8"/>
        <v/>
      </c>
      <c r="H162" s="1121" t="str">
        <f t="shared" si="4"/>
        <v/>
      </c>
      <c r="I162" s="1110">
        <f t="shared" si="5"/>
        <v>0</v>
      </c>
      <c r="P162" s="8"/>
      <c r="Q162" s="8"/>
      <c r="R162" s="8"/>
      <c r="S162" s="8"/>
      <c r="T162" s="8"/>
    </row>
    <row r="163" spans="1:20" ht="14.1" customHeight="1">
      <c r="A163" s="1105">
        <v>10</v>
      </c>
      <c r="B163" s="1136" t="str">
        <f t="shared" si="6"/>
        <v/>
      </c>
      <c r="C163" s="1116"/>
      <c r="D163" s="1135" t="str">
        <f t="shared" si="7"/>
        <v/>
      </c>
      <c r="E163" s="1121" t="str">
        <f t="shared" si="3"/>
        <v/>
      </c>
      <c r="F163" s="1116"/>
      <c r="G163" s="1135" t="str">
        <f t="shared" si="8"/>
        <v/>
      </c>
      <c r="H163" s="1121" t="str">
        <f t="shared" si="4"/>
        <v/>
      </c>
      <c r="I163" s="1110">
        <f t="shared" si="5"/>
        <v>0</v>
      </c>
      <c r="P163" s="8"/>
      <c r="Q163" s="8"/>
      <c r="R163" s="8"/>
      <c r="S163" s="8"/>
      <c r="T163" s="8"/>
    </row>
    <row r="164" spans="1:20" ht="14.1" customHeight="1">
      <c r="A164" s="1104">
        <v>11</v>
      </c>
      <c r="B164" s="1136" t="str">
        <f t="shared" si="6"/>
        <v/>
      </c>
      <c r="C164" s="1116"/>
      <c r="D164" s="1135" t="str">
        <f t="shared" si="7"/>
        <v/>
      </c>
      <c r="E164" s="1121" t="str">
        <f t="shared" si="3"/>
        <v/>
      </c>
      <c r="F164" s="1116"/>
      <c r="G164" s="1135" t="str">
        <f t="shared" si="8"/>
        <v/>
      </c>
      <c r="H164" s="1121" t="str">
        <f t="shared" si="4"/>
        <v/>
      </c>
      <c r="I164" s="1110">
        <f t="shared" si="5"/>
        <v>0</v>
      </c>
      <c r="P164" s="8"/>
      <c r="Q164" s="8"/>
      <c r="R164" s="8"/>
      <c r="S164" s="8"/>
      <c r="T164" s="8"/>
    </row>
    <row r="165" spans="1:20" ht="14.1" customHeight="1">
      <c r="A165" s="1105">
        <v>12</v>
      </c>
      <c r="B165" s="1136" t="str">
        <f t="shared" si="6"/>
        <v/>
      </c>
      <c r="C165" s="1116"/>
      <c r="D165" s="1135" t="str">
        <f t="shared" si="7"/>
        <v/>
      </c>
      <c r="E165" s="1121" t="str">
        <f t="shared" si="3"/>
        <v/>
      </c>
      <c r="F165" s="1116"/>
      <c r="G165" s="1135" t="str">
        <f t="shared" si="8"/>
        <v/>
      </c>
      <c r="H165" s="1121" t="str">
        <f t="shared" si="4"/>
        <v/>
      </c>
      <c r="I165" s="1110">
        <f t="shared" si="5"/>
        <v>0</v>
      </c>
      <c r="P165" s="8"/>
      <c r="Q165" s="8"/>
      <c r="R165" s="8"/>
      <c r="S165" s="8"/>
      <c r="T165" s="8"/>
    </row>
    <row r="166" spans="1:20" ht="14.1" customHeight="1">
      <c r="A166" s="1104">
        <v>13</v>
      </c>
      <c r="B166" s="1136" t="str">
        <f t="shared" si="6"/>
        <v/>
      </c>
      <c r="C166" s="1116"/>
      <c r="D166" s="1135" t="str">
        <f t="shared" si="7"/>
        <v/>
      </c>
      <c r="E166" s="1121" t="str">
        <f t="shared" si="3"/>
        <v/>
      </c>
      <c r="F166" s="1116"/>
      <c r="G166" s="1135" t="str">
        <f t="shared" si="8"/>
        <v/>
      </c>
      <c r="H166" s="1121" t="str">
        <f t="shared" si="4"/>
        <v/>
      </c>
      <c r="I166" s="1110">
        <f t="shared" si="5"/>
        <v>0</v>
      </c>
      <c r="P166" s="8"/>
      <c r="Q166" s="8"/>
      <c r="R166" s="8"/>
      <c r="S166" s="8"/>
      <c r="T166" s="8"/>
    </row>
    <row r="167" spans="1:20" ht="14.1" customHeight="1">
      <c r="A167" s="1105">
        <v>14</v>
      </c>
      <c r="B167" s="1136" t="str">
        <f t="shared" si="6"/>
        <v/>
      </c>
      <c r="C167" s="1116"/>
      <c r="D167" s="1135" t="str">
        <f t="shared" si="7"/>
        <v/>
      </c>
      <c r="E167" s="1121" t="str">
        <f t="shared" si="3"/>
        <v/>
      </c>
      <c r="F167" s="1116"/>
      <c r="G167" s="1135" t="str">
        <f t="shared" si="8"/>
        <v/>
      </c>
      <c r="H167" s="1121" t="str">
        <f t="shared" si="4"/>
        <v/>
      </c>
      <c r="I167" s="1110">
        <f t="shared" si="5"/>
        <v>0</v>
      </c>
      <c r="P167" s="8"/>
      <c r="Q167" s="8"/>
      <c r="R167" s="8"/>
      <c r="S167" s="8"/>
      <c r="T167" s="8"/>
    </row>
    <row r="168" spans="1:20" ht="14.1" customHeight="1">
      <c r="A168" s="1104">
        <v>15</v>
      </c>
      <c r="B168" s="1136" t="str">
        <f t="shared" si="6"/>
        <v/>
      </c>
      <c r="C168" s="1116"/>
      <c r="D168" s="1135" t="str">
        <f t="shared" si="7"/>
        <v/>
      </c>
      <c r="E168" s="1121" t="str">
        <f t="shared" si="3"/>
        <v/>
      </c>
      <c r="F168" s="1116"/>
      <c r="G168" s="1135" t="str">
        <f t="shared" si="8"/>
        <v/>
      </c>
      <c r="H168" s="1121" t="str">
        <f t="shared" si="4"/>
        <v/>
      </c>
      <c r="I168" s="1110">
        <f t="shared" si="5"/>
        <v>0</v>
      </c>
      <c r="P168" s="8"/>
      <c r="Q168" s="8"/>
      <c r="R168" s="8"/>
      <c r="S168" s="8"/>
      <c r="T168" s="8"/>
    </row>
    <row r="169" spans="1:20" ht="14.1" customHeight="1">
      <c r="A169" s="1105">
        <v>16</v>
      </c>
      <c r="B169" s="1136" t="str">
        <f t="shared" si="6"/>
        <v/>
      </c>
      <c r="C169" s="1116"/>
      <c r="D169" s="1135" t="str">
        <f t="shared" si="7"/>
        <v/>
      </c>
      <c r="E169" s="1121" t="str">
        <f t="shared" si="3"/>
        <v/>
      </c>
      <c r="F169" s="1116"/>
      <c r="G169" s="1135" t="str">
        <f t="shared" si="8"/>
        <v/>
      </c>
      <c r="H169" s="1121" t="str">
        <f t="shared" si="4"/>
        <v/>
      </c>
      <c r="I169" s="1110">
        <f t="shared" si="5"/>
        <v>0</v>
      </c>
      <c r="P169" s="8"/>
      <c r="Q169" s="8"/>
      <c r="R169" s="8"/>
      <c r="S169" s="8"/>
      <c r="T169" s="8"/>
    </row>
    <row r="170" spans="1:20" ht="14.1" customHeight="1">
      <c r="A170" s="1104">
        <v>17</v>
      </c>
      <c r="B170" s="1136" t="str">
        <f t="shared" si="6"/>
        <v/>
      </c>
      <c r="C170" s="1116"/>
      <c r="D170" s="1135" t="str">
        <f t="shared" si="7"/>
        <v/>
      </c>
      <c r="E170" s="1121" t="str">
        <f t="shared" si="3"/>
        <v/>
      </c>
      <c r="F170" s="1116"/>
      <c r="G170" s="1135" t="str">
        <f t="shared" si="8"/>
        <v/>
      </c>
      <c r="H170" s="1121" t="str">
        <f t="shared" si="4"/>
        <v/>
      </c>
      <c r="I170" s="1110">
        <f t="shared" si="5"/>
        <v>0</v>
      </c>
      <c r="P170" s="8"/>
      <c r="Q170" s="8"/>
      <c r="R170" s="8"/>
      <c r="S170" s="8"/>
      <c r="T170" s="8"/>
    </row>
    <row r="171" spans="1:20" ht="14.1" customHeight="1">
      <c r="A171" s="1105">
        <v>18</v>
      </c>
      <c r="B171" s="1136" t="str">
        <f t="shared" si="6"/>
        <v/>
      </c>
      <c r="C171" s="1116"/>
      <c r="D171" s="1135" t="str">
        <f t="shared" si="7"/>
        <v/>
      </c>
      <c r="E171" s="1121" t="str">
        <f t="shared" si="3"/>
        <v/>
      </c>
      <c r="F171" s="1116"/>
      <c r="G171" s="1135" t="str">
        <f t="shared" si="8"/>
        <v/>
      </c>
      <c r="H171" s="1121" t="str">
        <f t="shared" si="4"/>
        <v/>
      </c>
      <c r="I171" s="1110">
        <f t="shared" si="5"/>
        <v>0</v>
      </c>
      <c r="P171" s="8"/>
      <c r="Q171" s="8"/>
      <c r="R171" s="8"/>
      <c r="S171" s="8"/>
      <c r="T171" s="8"/>
    </row>
    <row r="172" spans="1:20" ht="14.1" customHeight="1">
      <c r="A172" s="1104">
        <v>19</v>
      </c>
      <c r="B172" s="1136" t="str">
        <f t="shared" si="6"/>
        <v/>
      </c>
      <c r="C172" s="1116"/>
      <c r="D172" s="1135" t="str">
        <f t="shared" si="7"/>
        <v/>
      </c>
      <c r="E172" s="1121" t="str">
        <f t="shared" si="3"/>
        <v/>
      </c>
      <c r="F172" s="1116"/>
      <c r="G172" s="1135" t="str">
        <f t="shared" si="8"/>
        <v/>
      </c>
      <c r="H172" s="1121" t="str">
        <f t="shared" si="4"/>
        <v/>
      </c>
      <c r="I172" s="1110">
        <f t="shared" si="5"/>
        <v>0</v>
      </c>
      <c r="P172" s="8"/>
      <c r="Q172" s="8"/>
      <c r="R172" s="8"/>
      <c r="S172" s="8"/>
      <c r="T172" s="8"/>
    </row>
    <row r="173" spans="1:20" ht="14.1" customHeight="1">
      <c r="A173" s="1105">
        <v>20</v>
      </c>
      <c r="B173" s="1136" t="str">
        <f t="shared" si="6"/>
        <v/>
      </c>
      <c r="C173" s="1116"/>
      <c r="D173" s="1135" t="str">
        <f t="shared" si="7"/>
        <v/>
      </c>
      <c r="E173" s="1121" t="str">
        <f t="shared" si="3"/>
        <v/>
      </c>
      <c r="F173" s="1116"/>
      <c r="G173" s="1135" t="str">
        <f t="shared" si="8"/>
        <v/>
      </c>
      <c r="H173" s="1121" t="str">
        <f t="shared" si="4"/>
        <v/>
      </c>
      <c r="I173" s="1110">
        <f t="shared" si="5"/>
        <v>0</v>
      </c>
      <c r="P173" s="8"/>
      <c r="Q173" s="8"/>
      <c r="R173" s="8"/>
      <c r="S173" s="8"/>
      <c r="T173" s="8"/>
    </row>
    <row r="174" spans="1:20" ht="14.1" customHeight="1">
      <c r="A174" s="1104">
        <v>21</v>
      </c>
      <c r="B174" s="1136" t="str">
        <f t="shared" si="6"/>
        <v/>
      </c>
      <c r="C174" s="1116"/>
      <c r="D174" s="1135" t="str">
        <f t="shared" si="7"/>
        <v/>
      </c>
      <c r="E174" s="1121" t="str">
        <f t="shared" si="3"/>
        <v/>
      </c>
      <c r="F174" s="1116"/>
      <c r="G174" s="1135" t="str">
        <f t="shared" si="8"/>
        <v/>
      </c>
      <c r="H174" s="1121" t="str">
        <f t="shared" si="4"/>
        <v/>
      </c>
      <c r="I174" s="1110">
        <f t="shared" si="5"/>
        <v>0</v>
      </c>
      <c r="P174" s="8"/>
      <c r="Q174" s="8"/>
      <c r="R174" s="8"/>
      <c r="S174" s="8"/>
      <c r="T174" s="8"/>
    </row>
    <row r="175" spans="1:20" ht="14.1" customHeight="1">
      <c r="A175" s="1105">
        <v>22</v>
      </c>
      <c r="B175" s="1136" t="str">
        <f t="shared" si="6"/>
        <v/>
      </c>
      <c r="C175" s="1116"/>
      <c r="D175" s="1135" t="str">
        <f t="shared" si="7"/>
        <v/>
      </c>
      <c r="E175" s="1121" t="str">
        <f t="shared" si="3"/>
        <v/>
      </c>
      <c r="F175" s="1116"/>
      <c r="G175" s="1135" t="str">
        <f t="shared" si="8"/>
        <v/>
      </c>
      <c r="H175" s="1121" t="str">
        <f t="shared" si="4"/>
        <v/>
      </c>
      <c r="I175" s="1110">
        <f t="shared" si="5"/>
        <v>0</v>
      </c>
      <c r="P175" s="8"/>
      <c r="Q175" s="8"/>
      <c r="R175" s="8"/>
      <c r="S175" s="8"/>
      <c r="T175" s="8"/>
    </row>
    <row r="176" spans="1:20" ht="14.1" customHeight="1">
      <c r="A176" s="1104">
        <v>23</v>
      </c>
      <c r="B176" s="1136" t="str">
        <f t="shared" si="6"/>
        <v/>
      </c>
      <c r="C176" s="1116"/>
      <c r="D176" s="1135" t="str">
        <f t="shared" si="7"/>
        <v/>
      </c>
      <c r="E176" s="1121" t="str">
        <f t="shared" si="3"/>
        <v/>
      </c>
      <c r="F176" s="1116"/>
      <c r="G176" s="1135" t="str">
        <f t="shared" si="8"/>
        <v/>
      </c>
      <c r="H176" s="1121" t="str">
        <f t="shared" si="4"/>
        <v/>
      </c>
      <c r="I176" s="1110">
        <f t="shared" si="5"/>
        <v>0</v>
      </c>
      <c r="P176" s="8"/>
      <c r="Q176" s="8"/>
      <c r="R176" s="8"/>
      <c r="S176" s="8"/>
      <c r="T176" s="8"/>
    </row>
    <row r="177" spans="1:20" ht="14.1" customHeight="1">
      <c r="A177" s="1105">
        <v>24</v>
      </c>
      <c r="B177" s="1136" t="str">
        <f t="shared" si="6"/>
        <v/>
      </c>
      <c r="C177" s="1116"/>
      <c r="D177" s="1135" t="str">
        <f t="shared" si="7"/>
        <v/>
      </c>
      <c r="E177" s="1121" t="str">
        <f t="shared" si="3"/>
        <v/>
      </c>
      <c r="F177" s="1116"/>
      <c r="G177" s="1135" t="str">
        <f t="shared" si="8"/>
        <v/>
      </c>
      <c r="H177" s="1121" t="str">
        <f t="shared" si="4"/>
        <v/>
      </c>
      <c r="I177" s="1110">
        <f t="shared" si="5"/>
        <v>0</v>
      </c>
      <c r="P177" s="8"/>
      <c r="Q177" s="8"/>
      <c r="R177" s="8"/>
      <c r="S177" s="8"/>
      <c r="T177" s="8"/>
    </row>
    <row r="178" spans="1:20" ht="14.1" customHeight="1">
      <c r="A178" s="1104">
        <v>25</v>
      </c>
      <c r="B178" s="1136" t="str">
        <f t="shared" si="6"/>
        <v/>
      </c>
      <c r="C178" s="1116"/>
      <c r="D178" s="1135" t="str">
        <f t="shared" si="7"/>
        <v/>
      </c>
      <c r="E178" s="1121" t="str">
        <f t="shared" si="3"/>
        <v/>
      </c>
      <c r="F178" s="1116"/>
      <c r="G178" s="1135" t="str">
        <f t="shared" si="8"/>
        <v/>
      </c>
      <c r="H178" s="1121" t="str">
        <f t="shared" si="4"/>
        <v/>
      </c>
      <c r="I178" s="1110">
        <f t="shared" si="5"/>
        <v>0</v>
      </c>
      <c r="P178" s="8"/>
      <c r="Q178" s="8"/>
      <c r="R178" s="8"/>
      <c r="S178" s="8"/>
      <c r="T178" s="8"/>
    </row>
    <row r="179" spans="1:20" ht="14.1" customHeight="1">
      <c r="A179" s="1105">
        <v>26</v>
      </c>
      <c r="B179" s="1136" t="str">
        <f t="shared" si="6"/>
        <v/>
      </c>
      <c r="C179" s="1116"/>
      <c r="D179" s="1135" t="str">
        <f t="shared" si="7"/>
        <v/>
      </c>
      <c r="E179" s="1121" t="str">
        <f t="shared" si="3"/>
        <v/>
      </c>
      <c r="F179" s="1116"/>
      <c r="G179" s="1135" t="str">
        <f t="shared" si="8"/>
        <v/>
      </c>
      <c r="H179" s="1121" t="str">
        <f t="shared" si="4"/>
        <v/>
      </c>
      <c r="I179" s="1110">
        <f t="shared" si="5"/>
        <v>0</v>
      </c>
      <c r="P179" s="8"/>
      <c r="Q179" s="8"/>
      <c r="R179" s="8"/>
      <c r="S179" s="8"/>
      <c r="T179" s="8"/>
    </row>
    <row r="180" spans="1:20" ht="14.1" customHeight="1">
      <c r="A180" s="1104">
        <v>27</v>
      </c>
      <c r="B180" s="1136" t="str">
        <f t="shared" si="6"/>
        <v/>
      </c>
      <c r="C180" s="1116"/>
      <c r="D180" s="1135" t="str">
        <f t="shared" si="7"/>
        <v/>
      </c>
      <c r="E180" s="1121" t="str">
        <f t="shared" si="3"/>
        <v/>
      </c>
      <c r="F180" s="1116"/>
      <c r="G180" s="1135" t="str">
        <f t="shared" si="8"/>
        <v/>
      </c>
      <c r="H180" s="1121" t="str">
        <f t="shared" si="4"/>
        <v/>
      </c>
      <c r="I180" s="1110">
        <f t="shared" si="5"/>
        <v>0</v>
      </c>
      <c r="P180" s="8"/>
      <c r="Q180" s="8"/>
      <c r="R180" s="8"/>
      <c r="S180" s="8"/>
      <c r="T180" s="8"/>
    </row>
    <row r="181" spans="1:20" ht="14.1" customHeight="1">
      <c r="A181" s="1106">
        <v>28</v>
      </c>
      <c r="B181" s="1136" t="str">
        <f t="shared" si="6"/>
        <v/>
      </c>
      <c r="C181" s="1116"/>
      <c r="D181" s="1135" t="str">
        <f t="shared" si="7"/>
        <v/>
      </c>
      <c r="E181" s="1122" t="str">
        <f t="shared" si="3"/>
        <v/>
      </c>
      <c r="F181" s="1116"/>
      <c r="G181" s="1135" t="str">
        <f t="shared" si="8"/>
        <v/>
      </c>
      <c r="H181" s="1122" t="str">
        <f t="shared" si="4"/>
        <v/>
      </c>
      <c r="I181" s="1111">
        <f t="shared" si="5"/>
        <v>0</v>
      </c>
    </row>
    <row r="182" spans="1:20" ht="14.1" customHeight="1">
      <c r="A182" s="1107"/>
      <c r="B182" s="1108" t="s">
        <v>541</v>
      </c>
      <c r="C182" s="1118">
        <f>SUM(C154:C181)</f>
        <v>0</v>
      </c>
      <c r="D182" s="1119">
        <f>SUM(D154:D181)</f>
        <v>0</v>
      </c>
      <c r="E182" s="1123" t="str">
        <f>IF(D182&lt;0.01,"",C182/D182)</f>
        <v/>
      </c>
      <c r="F182" s="1118">
        <f>SUM(F154:F181)</f>
        <v>0</v>
      </c>
      <c r="G182" s="1119">
        <f>SUM(G154:G181)</f>
        <v>0</v>
      </c>
      <c r="H182" s="1123" t="str">
        <f>IF(G182&lt;0.01,"",F182/G182)</f>
        <v/>
      </c>
      <c r="I182" s="1112" t="str">
        <f>IF(OR(D182&lt;0.01,G182&lt;0.01),"",MIN(E182,H182))</f>
        <v/>
      </c>
      <c r="J182" s="334"/>
    </row>
    <row r="183" spans="1:20">
      <c r="A183" s="335" t="s">
        <v>542</v>
      </c>
      <c r="H183" s="336" t="s">
        <v>643</v>
      </c>
      <c r="I183" s="337">
        <f>+SUM('Development Budget'!K74:L74)</f>
        <v>0</v>
      </c>
    </row>
    <row r="184" spans="1:20">
      <c r="I184" s="338" t="s">
        <v>676</v>
      </c>
      <c r="J184" s="339"/>
    </row>
    <row r="185" spans="1:20">
      <c r="H185" s="340" t="s">
        <v>633</v>
      </c>
      <c r="I185" s="341">
        <v>0</v>
      </c>
      <c r="J185" s="339"/>
    </row>
    <row r="186" spans="1:20">
      <c r="G186" s="8"/>
      <c r="H186" s="340" t="s">
        <v>634</v>
      </c>
      <c r="I186" s="341">
        <f>I136</f>
        <v>0</v>
      </c>
      <c r="J186" s="339"/>
    </row>
    <row r="187" spans="1:20">
      <c r="G187" s="337"/>
      <c r="H187" s="340" t="s">
        <v>635</v>
      </c>
      <c r="I187" s="341">
        <f>I137</f>
        <v>0</v>
      </c>
      <c r="J187" s="339"/>
    </row>
    <row r="188" spans="1:20">
      <c r="G188" s="8"/>
      <c r="H188" s="340" t="s">
        <v>636</v>
      </c>
      <c r="I188" s="341">
        <f>I138</f>
        <v>0</v>
      </c>
      <c r="J188" s="339"/>
    </row>
    <row r="189" spans="1:20">
      <c r="H189" s="340" t="s">
        <v>637</v>
      </c>
      <c r="I189" s="253">
        <v>0</v>
      </c>
      <c r="J189" s="342"/>
    </row>
    <row r="190" spans="1:20" ht="15.95" customHeight="1">
      <c r="H190" s="343" t="s">
        <v>644</v>
      </c>
      <c r="I190" s="342">
        <f>I183-I185-I186-I187-I188-I189</f>
        <v>0</v>
      </c>
      <c r="J190" s="8"/>
    </row>
    <row r="191" spans="1:20">
      <c r="H191" s="343" t="s">
        <v>641</v>
      </c>
      <c r="I191" s="420" t="str">
        <f>I144</f>
        <v/>
      </c>
    </row>
    <row r="192" spans="1:20">
      <c r="H192" s="343" t="s">
        <v>687</v>
      </c>
      <c r="I192" s="350">
        <f>IF(I190&gt;0,I190*I191,0)</f>
        <v>0</v>
      </c>
      <c r="J192" s="60"/>
      <c r="K192" s="60"/>
      <c r="L192" s="60"/>
      <c r="M192" s="347"/>
      <c r="N192" s="347"/>
      <c r="O192" s="347"/>
      <c r="P192" s="347"/>
    </row>
    <row r="193" spans="1:20">
      <c r="G193" s="351" t="s">
        <v>642</v>
      </c>
      <c r="H193" s="353"/>
      <c r="I193" s="254"/>
    </row>
    <row r="194" spans="1:20">
      <c r="G194" s="354"/>
      <c r="H194" s="355" t="s">
        <v>645</v>
      </c>
      <c r="I194" s="342">
        <f>I192*I193</f>
        <v>0</v>
      </c>
      <c r="J194" s="334"/>
    </row>
    <row r="195" spans="1:20">
      <c r="A195" s="597"/>
      <c r="B195" s="597"/>
      <c r="C195" s="597"/>
      <c r="D195" s="597"/>
      <c r="E195" s="601"/>
      <c r="F195" s="602"/>
      <c r="G195" s="603"/>
      <c r="H195" s="604" t="s">
        <v>686</v>
      </c>
      <c r="I195" s="599"/>
      <c r="J195" s="600"/>
    </row>
    <row r="196" spans="1:20">
      <c r="A196" s="597"/>
      <c r="B196" s="597"/>
      <c r="C196" s="597"/>
      <c r="D196" s="597"/>
      <c r="E196" s="1713" t="s">
        <v>730</v>
      </c>
      <c r="F196" s="1713"/>
      <c r="G196" s="1713"/>
      <c r="H196" s="1713"/>
      <c r="I196" s="342">
        <f>I194+I147</f>
        <v>0</v>
      </c>
      <c r="J196" s="600"/>
    </row>
    <row r="197" spans="1:20" ht="13.7" customHeight="1">
      <c r="A197" s="321"/>
      <c r="B197" s="8"/>
      <c r="C197" s="1721" t="s">
        <v>731</v>
      </c>
      <c r="D197" s="1722"/>
      <c r="E197" s="1722"/>
      <c r="F197" s="1722"/>
      <c r="G197" s="1722"/>
      <c r="H197" s="8"/>
      <c r="I197" s="8"/>
    </row>
    <row r="198" spans="1:20" ht="15.95" customHeight="1">
      <c r="A198" s="1737" t="s">
        <v>729</v>
      </c>
      <c r="B198" s="1738"/>
      <c r="C198" s="333"/>
      <c r="D198" s="333"/>
      <c r="E198" s="333"/>
      <c r="F198" s="333"/>
      <c r="G198" s="333"/>
      <c r="H198" s="333"/>
      <c r="I198" s="333"/>
    </row>
    <row r="199" spans="1:20" ht="15.6" customHeight="1">
      <c r="A199" s="1739"/>
      <c r="B199" s="1739"/>
      <c r="C199" s="1723" t="s">
        <v>524</v>
      </c>
      <c r="D199" s="1724"/>
      <c r="E199" s="1724"/>
      <c r="F199" s="1723" t="s">
        <v>525</v>
      </c>
      <c r="G199" s="1724"/>
      <c r="H199" s="1724"/>
      <c r="I199" s="1109" t="s">
        <v>139</v>
      </c>
    </row>
    <row r="200" spans="1:20" ht="12" customHeight="1">
      <c r="A200" s="1126" t="s">
        <v>526</v>
      </c>
      <c r="B200" s="1134" t="s">
        <v>632</v>
      </c>
      <c r="C200" s="1126" t="s">
        <v>527</v>
      </c>
      <c r="D200" s="1128" t="s">
        <v>528</v>
      </c>
      <c r="E200" s="1129" t="s">
        <v>529</v>
      </c>
      <c r="F200" s="1130" t="s">
        <v>530</v>
      </c>
      <c r="G200" s="1131" t="s">
        <v>531</v>
      </c>
      <c r="H200" s="1132" t="s">
        <v>532</v>
      </c>
      <c r="I200" s="1133" t="s">
        <v>533</v>
      </c>
    </row>
    <row r="201" spans="1:20" ht="15.6" customHeight="1">
      <c r="A201" s="1745" t="s">
        <v>534</v>
      </c>
      <c r="B201" s="1125" t="s">
        <v>535</v>
      </c>
      <c r="C201" s="1725" t="s">
        <v>690</v>
      </c>
      <c r="D201" s="1740" t="s">
        <v>536</v>
      </c>
      <c r="E201" s="1719" t="s">
        <v>537</v>
      </c>
      <c r="F201" s="1727" t="s">
        <v>691</v>
      </c>
      <c r="G201" s="1717" t="s">
        <v>538</v>
      </c>
      <c r="H201" s="1719" t="s">
        <v>539</v>
      </c>
      <c r="I201" s="1714" t="s">
        <v>540</v>
      </c>
      <c r="P201" s="8"/>
      <c r="Q201" s="8"/>
      <c r="R201" s="8"/>
      <c r="S201" s="8"/>
      <c r="T201" s="8"/>
    </row>
    <row r="202" spans="1:20" ht="13.7" customHeight="1">
      <c r="A202" s="1746"/>
      <c r="B202" s="1137">
        <f>B153</f>
        <v>0</v>
      </c>
      <c r="C202" s="1726"/>
      <c r="D202" s="1741"/>
      <c r="E202" s="1720"/>
      <c r="F202" s="1728"/>
      <c r="G202" s="1718"/>
      <c r="H202" s="1720"/>
      <c r="I202" s="1715"/>
      <c r="P202" s="8"/>
      <c r="Q202" s="8"/>
      <c r="R202" s="8"/>
      <c r="S202" s="8"/>
      <c r="T202" s="8"/>
    </row>
    <row r="203" spans="1:20" ht="14.1" customHeight="1">
      <c r="A203" s="1114">
        <v>1</v>
      </c>
      <c r="B203" s="1136" t="str">
        <f>IF(B154&gt;0,B154,"")</f>
        <v/>
      </c>
      <c r="C203" s="1116"/>
      <c r="D203" s="1135" t="str">
        <f>IF(D104&gt;0,D104,"")</f>
        <v/>
      </c>
      <c r="E203" s="1120" t="str">
        <f t="shared" ref="E203:E230" si="9">IF(OR(ISBLANK(C203),ISBLANK(D203)),"",C203/D203)</f>
        <v/>
      </c>
      <c r="F203" s="1116"/>
      <c r="G203" s="1135" t="str">
        <f>IF(G104&gt;0,G104,"")</f>
        <v/>
      </c>
      <c r="H203" s="1120" t="str">
        <f t="shared" ref="H203:H230" si="10">IF(OR(ISBLANK(F203),ISBLANK(G203)),"",F203/G203)</f>
        <v/>
      </c>
      <c r="I203" s="1115">
        <f t="shared" ref="I203:I230" si="11">IF(OR(ISBLANK(D203),ISBLANK(G203)),"",MIN(E203,H203))</f>
        <v>0</v>
      </c>
    </row>
    <row r="204" spans="1:20" ht="14.1" customHeight="1">
      <c r="A204" s="1105">
        <v>2</v>
      </c>
      <c r="B204" s="1136" t="str">
        <f t="shared" ref="B204:B230" si="12">IF(B155&gt;0,B155,"")</f>
        <v/>
      </c>
      <c r="C204" s="1116"/>
      <c r="D204" s="1135" t="str">
        <f t="shared" ref="D204:D230" si="13">IF(D105&gt;0,D105,"")</f>
        <v/>
      </c>
      <c r="E204" s="1121" t="str">
        <f t="shared" si="9"/>
        <v/>
      </c>
      <c r="F204" s="1116"/>
      <c r="G204" s="1135" t="str">
        <f t="shared" ref="G204:G230" si="14">IF(G105&gt;0,G105,"")</f>
        <v/>
      </c>
      <c r="H204" s="1121" t="str">
        <f t="shared" si="10"/>
        <v/>
      </c>
      <c r="I204" s="1110">
        <f t="shared" si="11"/>
        <v>0</v>
      </c>
    </row>
    <row r="205" spans="1:20" ht="13.7" customHeight="1">
      <c r="A205" s="1104">
        <v>3</v>
      </c>
      <c r="B205" s="1136" t="str">
        <f t="shared" si="12"/>
        <v/>
      </c>
      <c r="C205" s="1116"/>
      <c r="D205" s="1135" t="str">
        <f t="shared" si="13"/>
        <v/>
      </c>
      <c r="E205" s="1121" t="str">
        <f t="shared" si="9"/>
        <v/>
      </c>
      <c r="F205" s="1116"/>
      <c r="G205" s="1135" t="str">
        <f t="shared" si="14"/>
        <v/>
      </c>
      <c r="H205" s="1121" t="str">
        <f t="shared" si="10"/>
        <v/>
      </c>
      <c r="I205" s="1110">
        <f t="shared" si="11"/>
        <v>0</v>
      </c>
    </row>
    <row r="206" spans="1:20" ht="14.1" customHeight="1">
      <c r="A206" s="1105">
        <v>4</v>
      </c>
      <c r="B206" s="1136" t="str">
        <f t="shared" si="12"/>
        <v/>
      </c>
      <c r="C206" s="1116"/>
      <c r="D206" s="1135" t="str">
        <f t="shared" si="13"/>
        <v/>
      </c>
      <c r="E206" s="1121" t="str">
        <f t="shared" si="9"/>
        <v/>
      </c>
      <c r="F206" s="1116"/>
      <c r="G206" s="1135" t="str">
        <f t="shared" si="14"/>
        <v/>
      </c>
      <c r="H206" s="1121" t="str">
        <f t="shared" si="10"/>
        <v/>
      </c>
      <c r="I206" s="1110">
        <f t="shared" si="11"/>
        <v>0</v>
      </c>
    </row>
    <row r="207" spans="1:20" ht="14.1" customHeight="1">
      <c r="A207" s="1104">
        <v>5</v>
      </c>
      <c r="B207" s="1136" t="str">
        <f t="shared" si="12"/>
        <v/>
      </c>
      <c r="C207" s="1116"/>
      <c r="D207" s="1135" t="str">
        <f t="shared" si="13"/>
        <v/>
      </c>
      <c r="E207" s="1121" t="str">
        <f t="shared" si="9"/>
        <v/>
      </c>
      <c r="F207" s="1116"/>
      <c r="G207" s="1135" t="str">
        <f t="shared" si="14"/>
        <v/>
      </c>
      <c r="H207" s="1121" t="str">
        <f t="shared" si="10"/>
        <v/>
      </c>
      <c r="I207" s="1110">
        <f t="shared" si="11"/>
        <v>0</v>
      </c>
    </row>
    <row r="208" spans="1:20" ht="13.7" customHeight="1">
      <c r="A208" s="1105">
        <v>6</v>
      </c>
      <c r="B208" s="1136" t="str">
        <f t="shared" si="12"/>
        <v/>
      </c>
      <c r="C208" s="1116"/>
      <c r="D208" s="1135" t="str">
        <f t="shared" si="13"/>
        <v/>
      </c>
      <c r="E208" s="1121" t="str">
        <f t="shared" si="9"/>
        <v/>
      </c>
      <c r="F208" s="1116"/>
      <c r="G208" s="1135" t="str">
        <f t="shared" si="14"/>
        <v/>
      </c>
      <c r="H208" s="1121" t="str">
        <f t="shared" si="10"/>
        <v/>
      </c>
      <c r="I208" s="1110">
        <f t="shared" si="11"/>
        <v>0</v>
      </c>
    </row>
    <row r="209" spans="1:9" ht="14.1" customHeight="1">
      <c r="A209" s="1104">
        <v>7</v>
      </c>
      <c r="B209" s="1136" t="str">
        <f t="shared" si="12"/>
        <v/>
      </c>
      <c r="C209" s="1116"/>
      <c r="D209" s="1135" t="str">
        <f t="shared" si="13"/>
        <v/>
      </c>
      <c r="E209" s="1121" t="str">
        <f t="shared" si="9"/>
        <v/>
      </c>
      <c r="F209" s="1116"/>
      <c r="G209" s="1135" t="str">
        <f t="shared" si="14"/>
        <v/>
      </c>
      <c r="H209" s="1121" t="str">
        <f t="shared" si="10"/>
        <v/>
      </c>
      <c r="I209" s="1110">
        <f t="shared" si="11"/>
        <v>0</v>
      </c>
    </row>
    <row r="210" spans="1:9" ht="13.7" customHeight="1">
      <c r="A210" s="1105">
        <v>8</v>
      </c>
      <c r="B210" s="1136" t="str">
        <f t="shared" si="12"/>
        <v/>
      </c>
      <c r="C210" s="1116"/>
      <c r="D210" s="1135" t="str">
        <f t="shared" si="13"/>
        <v/>
      </c>
      <c r="E210" s="1121" t="str">
        <f t="shared" si="9"/>
        <v/>
      </c>
      <c r="F210" s="1116"/>
      <c r="G210" s="1135" t="str">
        <f t="shared" si="14"/>
        <v/>
      </c>
      <c r="H210" s="1121" t="str">
        <f t="shared" si="10"/>
        <v/>
      </c>
      <c r="I210" s="1110">
        <f t="shared" si="11"/>
        <v>0</v>
      </c>
    </row>
    <row r="211" spans="1:9" ht="14.1" customHeight="1">
      <c r="A211" s="1104">
        <v>9</v>
      </c>
      <c r="B211" s="1136" t="str">
        <f t="shared" si="12"/>
        <v/>
      </c>
      <c r="C211" s="1116"/>
      <c r="D211" s="1135" t="str">
        <f t="shared" si="13"/>
        <v/>
      </c>
      <c r="E211" s="1121" t="str">
        <f t="shared" si="9"/>
        <v/>
      </c>
      <c r="F211" s="1116"/>
      <c r="G211" s="1135" t="str">
        <f t="shared" si="14"/>
        <v/>
      </c>
      <c r="H211" s="1121" t="str">
        <f t="shared" si="10"/>
        <v/>
      </c>
      <c r="I211" s="1110">
        <f t="shared" si="11"/>
        <v>0</v>
      </c>
    </row>
    <row r="212" spans="1:9" ht="13.7" customHeight="1">
      <c r="A212" s="1105">
        <v>10</v>
      </c>
      <c r="B212" s="1136" t="str">
        <f t="shared" si="12"/>
        <v/>
      </c>
      <c r="C212" s="1116"/>
      <c r="D212" s="1135" t="str">
        <f t="shared" si="13"/>
        <v/>
      </c>
      <c r="E212" s="1121" t="str">
        <f t="shared" si="9"/>
        <v/>
      </c>
      <c r="F212" s="1116"/>
      <c r="G212" s="1135" t="str">
        <f t="shared" si="14"/>
        <v/>
      </c>
      <c r="H212" s="1121" t="str">
        <f t="shared" si="10"/>
        <v/>
      </c>
      <c r="I212" s="1110">
        <f t="shared" si="11"/>
        <v>0</v>
      </c>
    </row>
    <row r="213" spans="1:9" ht="14.1" customHeight="1">
      <c r="A213" s="1104">
        <v>11</v>
      </c>
      <c r="B213" s="1136" t="str">
        <f t="shared" si="12"/>
        <v/>
      </c>
      <c r="C213" s="1116"/>
      <c r="D213" s="1135" t="str">
        <f t="shared" si="13"/>
        <v/>
      </c>
      <c r="E213" s="1121" t="str">
        <f t="shared" si="9"/>
        <v/>
      </c>
      <c r="F213" s="1116"/>
      <c r="G213" s="1135" t="str">
        <f t="shared" si="14"/>
        <v/>
      </c>
      <c r="H213" s="1121" t="str">
        <f t="shared" si="10"/>
        <v/>
      </c>
      <c r="I213" s="1110">
        <f t="shared" si="11"/>
        <v>0</v>
      </c>
    </row>
    <row r="214" spans="1:9" ht="13.7" customHeight="1">
      <c r="A214" s="1105">
        <v>12</v>
      </c>
      <c r="B214" s="1136" t="str">
        <f t="shared" si="12"/>
        <v/>
      </c>
      <c r="C214" s="1116"/>
      <c r="D214" s="1135" t="str">
        <f t="shared" si="13"/>
        <v/>
      </c>
      <c r="E214" s="1121" t="str">
        <f t="shared" si="9"/>
        <v/>
      </c>
      <c r="F214" s="1116"/>
      <c r="G214" s="1135" t="str">
        <f t="shared" si="14"/>
        <v/>
      </c>
      <c r="H214" s="1121" t="str">
        <f t="shared" si="10"/>
        <v/>
      </c>
      <c r="I214" s="1110">
        <f t="shared" si="11"/>
        <v>0</v>
      </c>
    </row>
    <row r="215" spans="1:9" ht="13.7" customHeight="1">
      <c r="A215" s="1104">
        <v>13</v>
      </c>
      <c r="B215" s="1136" t="str">
        <f t="shared" si="12"/>
        <v/>
      </c>
      <c r="C215" s="1116"/>
      <c r="D215" s="1135" t="str">
        <f t="shared" si="13"/>
        <v/>
      </c>
      <c r="E215" s="1121" t="str">
        <f t="shared" si="9"/>
        <v/>
      </c>
      <c r="F215" s="1116"/>
      <c r="G215" s="1135" t="str">
        <f t="shared" si="14"/>
        <v/>
      </c>
      <c r="H215" s="1121" t="str">
        <f t="shared" si="10"/>
        <v/>
      </c>
      <c r="I215" s="1110">
        <f t="shared" si="11"/>
        <v>0</v>
      </c>
    </row>
    <row r="216" spans="1:9" ht="13.7" customHeight="1">
      <c r="A216" s="1105">
        <v>14</v>
      </c>
      <c r="B216" s="1136" t="str">
        <f t="shared" si="12"/>
        <v/>
      </c>
      <c r="C216" s="1116"/>
      <c r="D216" s="1135" t="str">
        <f t="shared" si="13"/>
        <v/>
      </c>
      <c r="E216" s="1121" t="str">
        <f t="shared" si="9"/>
        <v/>
      </c>
      <c r="F216" s="1116"/>
      <c r="G216" s="1135" t="str">
        <f t="shared" si="14"/>
        <v/>
      </c>
      <c r="H216" s="1121" t="str">
        <f t="shared" si="10"/>
        <v/>
      </c>
      <c r="I216" s="1110">
        <f t="shared" si="11"/>
        <v>0</v>
      </c>
    </row>
    <row r="217" spans="1:9" ht="13.7" customHeight="1">
      <c r="A217" s="1104">
        <v>15</v>
      </c>
      <c r="B217" s="1136" t="str">
        <f t="shared" si="12"/>
        <v/>
      </c>
      <c r="C217" s="1116"/>
      <c r="D217" s="1135" t="str">
        <f t="shared" si="13"/>
        <v/>
      </c>
      <c r="E217" s="1121" t="str">
        <f t="shared" si="9"/>
        <v/>
      </c>
      <c r="F217" s="1116"/>
      <c r="G217" s="1135" t="str">
        <f t="shared" si="14"/>
        <v/>
      </c>
      <c r="H217" s="1121" t="str">
        <f t="shared" si="10"/>
        <v/>
      </c>
      <c r="I217" s="1110">
        <f t="shared" si="11"/>
        <v>0</v>
      </c>
    </row>
    <row r="218" spans="1:9" ht="13.7" customHeight="1">
      <c r="A218" s="1105">
        <v>16</v>
      </c>
      <c r="B218" s="1136" t="str">
        <f t="shared" si="12"/>
        <v/>
      </c>
      <c r="C218" s="1116"/>
      <c r="D218" s="1135" t="str">
        <f t="shared" si="13"/>
        <v/>
      </c>
      <c r="E218" s="1121" t="str">
        <f t="shared" si="9"/>
        <v/>
      </c>
      <c r="F218" s="1116"/>
      <c r="G218" s="1135" t="str">
        <f t="shared" si="14"/>
        <v/>
      </c>
      <c r="H218" s="1121" t="str">
        <f t="shared" si="10"/>
        <v/>
      </c>
      <c r="I218" s="1110">
        <f t="shared" si="11"/>
        <v>0</v>
      </c>
    </row>
    <row r="219" spans="1:9" ht="12.6" customHeight="1">
      <c r="A219" s="1104">
        <v>17</v>
      </c>
      <c r="B219" s="1136" t="str">
        <f t="shared" si="12"/>
        <v/>
      </c>
      <c r="C219" s="1116"/>
      <c r="D219" s="1135" t="str">
        <f t="shared" si="13"/>
        <v/>
      </c>
      <c r="E219" s="1121" t="str">
        <f t="shared" si="9"/>
        <v/>
      </c>
      <c r="F219" s="1116"/>
      <c r="G219" s="1135" t="str">
        <f t="shared" si="14"/>
        <v/>
      </c>
      <c r="H219" s="1121" t="str">
        <f t="shared" si="10"/>
        <v/>
      </c>
      <c r="I219" s="1110">
        <f t="shared" si="11"/>
        <v>0</v>
      </c>
    </row>
    <row r="220" spans="1:9" ht="14.1" customHeight="1">
      <c r="A220" s="1105">
        <v>18</v>
      </c>
      <c r="B220" s="1136" t="str">
        <f t="shared" si="12"/>
        <v/>
      </c>
      <c r="C220" s="1116"/>
      <c r="D220" s="1135" t="str">
        <f t="shared" si="13"/>
        <v/>
      </c>
      <c r="E220" s="1121" t="str">
        <f t="shared" si="9"/>
        <v/>
      </c>
      <c r="F220" s="1116"/>
      <c r="G220" s="1135" t="str">
        <f t="shared" si="14"/>
        <v/>
      </c>
      <c r="H220" s="1121" t="str">
        <f t="shared" si="10"/>
        <v/>
      </c>
      <c r="I220" s="1110">
        <f t="shared" si="11"/>
        <v>0</v>
      </c>
    </row>
    <row r="221" spans="1:9" ht="14.1" customHeight="1">
      <c r="A221" s="1104">
        <v>19</v>
      </c>
      <c r="B221" s="1136" t="str">
        <f t="shared" si="12"/>
        <v/>
      </c>
      <c r="C221" s="1116"/>
      <c r="D221" s="1135" t="str">
        <f t="shared" si="13"/>
        <v/>
      </c>
      <c r="E221" s="1121" t="str">
        <f t="shared" si="9"/>
        <v/>
      </c>
      <c r="F221" s="1116"/>
      <c r="G221" s="1135" t="str">
        <f t="shared" si="14"/>
        <v/>
      </c>
      <c r="H221" s="1121" t="str">
        <f t="shared" si="10"/>
        <v/>
      </c>
      <c r="I221" s="1110">
        <f t="shared" si="11"/>
        <v>0</v>
      </c>
    </row>
    <row r="222" spans="1:9" ht="14.1" customHeight="1">
      <c r="A222" s="1105">
        <v>20</v>
      </c>
      <c r="B222" s="1136" t="str">
        <f t="shared" si="12"/>
        <v/>
      </c>
      <c r="C222" s="1116"/>
      <c r="D222" s="1135" t="str">
        <f t="shared" si="13"/>
        <v/>
      </c>
      <c r="E222" s="1121" t="str">
        <f t="shared" si="9"/>
        <v/>
      </c>
      <c r="F222" s="1116"/>
      <c r="G222" s="1135" t="str">
        <f t="shared" si="14"/>
        <v/>
      </c>
      <c r="H222" s="1121" t="str">
        <f t="shared" si="10"/>
        <v/>
      </c>
      <c r="I222" s="1110">
        <f t="shared" si="11"/>
        <v>0</v>
      </c>
    </row>
    <row r="223" spans="1:9" ht="14.1" customHeight="1">
      <c r="A223" s="1104">
        <v>21</v>
      </c>
      <c r="B223" s="1136" t="str">
        <f t="shared" si="12"/>
        <v/>
      </c>
      <c r="C223" s="1116"/>
      <c r="D223" s="1135" t="str">
        <f t="shared" si="13"/>
        <v/>
      </c>
      <c r="E223" s="1121" t="str">
        <f t="shared" si="9"/>
        <v/>
      </c>
      <c r="F223" s="1116"/>
      <c r="G223" s="1135" t="str">
        <f t="shared" si="14"/>
        <v/>
      </c>
      <c r="H223" s="1121" t="str">
        <f t="shared" si="10"/>
        <v/>
      </c>
      <c r="I223" s="1110">
        <f t="shared" si="11"/>
        <v>0</v>
      </c>
    </row>
    <row r="224" spans="1:9" ht="14.1" customHeight="1">
      <c r="A224" s="1105">
        <v>22</v>
      </c>
      <c r="B224" s="1136" t="str">
        <f t="shared" si="12"/>
        <v/>
      </c>
      <c r="C224" s="1116"/>
      <c r="D224" s="1135" t="str">
        <f t="shared" si="13"/>
        <v/>
      </c>
      <c r="E224" s="1121" t="str">
        <f t="shared" si="9"/>
        <v/>
      </c>
      <c r="F224" s="1116"/>
      <c r="G224" s="1135" t="str">
        <f t="shared" si="14"/>
        <v/>
      </c>
      <c r="H224" s="1121" t="str">
        <f t="shared" si="10"/>
        <v/>
      </c>
      <c r="I224" s="1110">
        <f t="shared" si="11"/>
        <v>0</v>
      </c>
    </row>
    <row r="225" spans="1:10" ht="14.1" customHeight="1">
      <c r="A225" s="1104">
        <v>23</v>
      </c>
      <c r="B225" s="1136" t="str">
        <f t="shared" si="12"/>
        <v/>
      </c>
      <c r="C225" s="1116"/>
      <c r="D225" s="1135" t="str">
        <f t="shared" si="13"/>
        <v/>
      </c>
      <c r="E225" s="1121" t="str">
        <f t="shared" si="9"/>
        <v/>
      </c>
      <c r="F225" s="1116"/>
      <c r="G225" s="1135" t="str">
        <f t="shared" si="14"/>
        <v/>
      </c>
      <c r="H225" s="1121" t="str">
        <f t="shared" si="10"/>
        <v/>
      </c>
      <c r="I225" s="1110">
        <f t="shared" si="11"/>
        <v>0</v>
      </c>
    </row>
    <row r="226" spans="1:10" ht="14.1" customHeight="1">
      <c r="A226" s="1105">
        <v>24</v>
      </c>
      <c r="B226" s="1136" t="str">
        <f t="shared" si="12"/>
        <v/>
      </c>
      <c r="C226" s="1116"/>
      <c r="D226" s="1135" t="str">
        <f t="shared" si="13"/>
        <v/>
      </c>
      <c r="E226" s="1121" t="str">
        <f t="shared" si="9"/>
        <v/>
      </c>
      <c r="F226" s="1116"/>
      <c r="G226" s="1135" t="str">
        <f t="shared" si="14"/>
        <v/>
      </c>
      <c r="H226" s="1121" t="str">
        <f t="shared" si="10"/>
        <v/>
      </c>
      <c r="I226" s="1110">
        <f t="shared" si="11"/>
        <v>0</v>
      </c>
    </row>
    <row r="227" spans="1:10" ht="14.1" customHeight="1">
      <c r="A227" s="1104">
        <v>25</v>
      </c>
      <c r="B227" s="1136" t="str">
        <f t="shared" si="12"/>
        <v/>
      </c>
      <c r="C227" s="1116"/>
      <c r="D227" s="1135" t="str">
        <f t="shared" si="13"/>
        <v/>
      </c>
      <c r="E227" s="1121" t="str">
        <f t="shared" si="9"/>
        <v/>
      </c>
      <c r="F227" s="1116"/>
      <c r="G227" s="1135" t="str">
        <f t="shared" si="14"/>
        <v/>
      </c>
      <c r="H227" s="1121" t="str">
        <f t="shared" si="10"/>
        <v/>
      </c>
      <c r="I227" s="1110">
        <f t="shared" si="11"/>
        <v>0</v>
      </c>
    </row>
    <row r="228" spans="1:10" ht="14.1" customHeight="1">
      <c r="A228" s="1105">
        <v>26</v>
      </c>
      <c r="B228" s="1136" t="str">
        <f t="shared" si="12"/>
        <v/>
      </c>
      <c r="C228" s="1116"/>
      <c r="D228" s="1135" t="str">
        <f t="shared" si="13"/>
        <v/>
      </c>
      <c r="E228" s="1121" t="str">
        <f t="shared" si="9"/>
        <v/>
      </c>
      <c r="F228" s="1116"/>
      <c r="G228" s="1135" t="str">
        <f t="shared" si="14"/>
        <v/>
      </c>
      <c r="H228" s="1121" t="str">
        <f t="shared" si="10"/>
        <v/>
      </c>
      <c r="I228" s="1110">
        <f t="shared" si="11"/>
        <v>0</v>
      </c>
    </row>
    <row r="229" spans="1:10" ht="14.1" customHeight="1">
      <c r="A229" s="1104">
        <v>27</v>
      </c>
      <c r="B229" s="1136" t="str">
        <f t="shared" si="12"/>
        <v/>
      </c>
      <c r="C229" s="1116"/>
      <c r="D229" s="1135" t="str">
        <f t="shared" si="13"/>
        <v/>
      </c>
      <c r="E229" s="1121" t="str">
        <f t="shared" si="9"/>
        <v/>
      </c>
      <c r="F229" s="1116"/>
      <c r="G229" s="1135" t="str">
        <f t="shared" si="14"/>
        <v/>
      </c>
      <c r="H229" s="1121" t="str">
        <f t="shared" si="10"/>
        <v/>
      </c>
      <c r="I229" s="1110">
        <f t="shared" si="11"/>
        <v>0</v>
      </c>
    </row>
    <row r="230" spans="1:10" ht="14.1" customHeight="1">
      <c r="A230" s="1106">
        <v>28</v>
      </c>
      <c r="B230" s="1136" t="str">
        <f t="shared" si="12"/>
        <v/>
      </c>
      <c r="C230" s="1116"/>
      <c r="D230" s="1135" t="str">
        <f t="shared" si="13"/>
        <v/>
      </c>
      <c r="E230" s="1122" t="str">
        <f t="shared" si="9"/>
        <v/>
      </c>
      <c r="F230" s="1116"/>
      <c r="G230" s="1135" t="str">
        <f t="shared" si="14"/>
        <v/>
      </c>
      <c r="H230" s="1122" t="str">
        <f t="shared" si="10"/>
        <v/>
      </c>
      <c r="I230" s="1111">
        <f t="shared" si="11"/>
        <v>0</v>
      </c>
    </row>
    <row r="231" spans="1:10" ht="14.1" customHeight="1">
      <c r="A231" s="1107"/>
      <c r="B231" s="1108" t="s">
        <v>541</v>
      </c>
      <c r="C231" s="1118">
        <f>SUM(C203:C230)</f>
        <v>0</v>
      </c>
      <c r="D231" s="1119">
        <f>SUM(D203:D230)</f>
        <v>0</v>
      </c>
      <c r="E231" s="1123" t="str">
        <f>IF(D231&lt;0.01,"",C231/D231)</f>
        <v/>
      </c>
      <c r="F231" s="1118">
        <f>SUM(F203:F230)</f>
        <v>0</v>
      </c>
      <c r="G231" s="1119">
        <f>SUM(G203:G230)</f>
        <v>0</v>
      </c>
      <c r="H231" s="1123" t="str">
        <f>IF(G231&lt;0.01,"",F231/G231)</f>
        <v/>
      </c>
      <c r="I231" s="1112" t="str">
        <f>IF(OR(D231&lt;0.01,G231&lt;0.01),"",MIN(E231,H231))</f>
        <v/>
      </c>
      <c r="J231" s="334"/>
    </row>
    <row r="232" spans="1:10">
      <c r="A232" s="335" t="s">
        <v>542</v>
      </c>
      <c r="H232" s="336" t="s">
        <v>481</v>
      </c>
      <c r="I232" s="337">
        <f>+SUM('Development Budget'!K75:L75)</f>
        <v>0</v>
      </c>
    </row>
    <row r="233" spans="1:10">
      <c r="I233" s="338" t="s">
        <v>692</v>
      </c>
      <c r="J233" s="339"/>
    </row>
    <row r="234" spans="1:10">
      <c r="H234" s="340" t="s">
        <v>633</v>
      </c>
      <c r="I234" s="341">
        <f>I135</f>
        <v>0</v>
      </c>
      <c r="J234" s="339"/>
    </row>
    <row r="235" spans="1:10">
      <c r="G235" s="8"/>
      <c r="H235" s="340" t="s">
        <v>634</v>
      </c>
      <c r="I235" s="341">
        <f>I136</f>
        <v>0</v>
      </c>
      <c r="J235" s="339"/>
    </row>
    <row r="236" spans="1:10">
      <c r="G236" s="337"/>
      <c r="H236" s="340" t="s">
        <v>635</v>
      </c>
      <c r="I236" s="341">
        <f>I137</f>
        <v>0</v>
      </c>
      <c r="J236" s="339"/>
    </row>
    <row r="237" spans="1:10">
      <c r="G237" s="8"/>
      <c r="H237" s="340" t="s">
        <v>636</v>
      </c>
      <c r="I237" s="341">
        <f>I138</f>
        <v>0</v>
      </c>
      <c r="J237" s="339"/>
    </row>
    <row r="238" spans="1:10">
      <c r="H238" s="340" t="s">
        <v>637</v>
      </c>
      <c r="I238" s="253">
        <f>I139</f>
        <v>0</v>
      </c>
      <c r="J238" s="342"/>
    </row>
    <row r="239" spans="1:10" ht="15.95" customHeight="1">
      <c r="H239" s="60" t="s">
        <v>638</v>
      </c>
      <c r="I239" s="342">
        <f>I232-I234-I235-I236-I237-I238</f>
        <v>0</v>
      </c>
      <c r="J239" s="8"/>
    </row>
    <row r="240" spans="1:10">
      <c r="H240" s="343" t="s">
        <v>639</v>
      </c>
      <c r="I240" s="344">
        <f>I141</f>
        <v>0</v>
      </c>
    </row>
    <row r="241" spans="1:16">
      <c r="H241" s="345" t="s">
        <v>688</v>
      </c>
      <c r="I241" s="346">
        <f>I239*I240</f>
        <v>0</v>
      </c>
      <c r="J241" s="60"/>
      <c r="K241" s="60"/>
      <c r="L241" s="60"/>
      <c r="M241" s="347"/>
      <c r="N241" s="347"/>
      <c r="O241" s="347"/>
      <c r="P241" s="347"/>
    </row>
    <row r="242" spans="1:16">
      <c r="H242" s="343" t="s">
        <v>640</v>
      </c>
      <c r="I242" s="348">
        <f>I239+I241</f>
        <v>0</v>
      </c>
    </row>
    <row r="243" spans="1:16">
      <c r="H243" s="343" t="s">
        <v>641</v>
      </c>
      <c r="I243" s="420" t="str">
        <f>I231</f>
        <v/>
      </c>
      <c r="J243" s="334"/>
    </row>
    <row r="244" spans="1:16">
      <c r="H244" s="343" t="s">
        <v>687</v>
      </c>
      <c r="I244" s="350">
        <f>IF(I242&gt;0,I242*I243,0)</f>
        <v>0</v>
      </c>
    </row>
    <row r="245" spans="1:16" ht="15.95" customHeight="1">
      <c r="A245" s="55"/>
      <c r="B245" s="62"/>
      <c r="C245" s="8"/>
      <c r="D245" s="8"/>
      <c r="E245" s="8"/>
      <c r="H245" s="351" t="s">
        <v>642</v>
      </c>
      <c r="I245" s="366">
        <f>I146</f>
        <v>0.09</v>
      </c>
    </row>
    <row r="246" spans="1:16" ht="15.95" customHeight="1">
      <c r="A246" s="356"/>
      <c r="B246" s="62"/>
      <c r="C246" s="8"/>
      <c r="D246" s="8"/>
      <c r="E246" s="8"/>
      <c r="F246" s="357"/>
      <c r="G246" s="354"/>
      <c r="H246" s="355" t="s">
        <v>693</v>
      </c>
      <c r="I246" s="342">
        <f>I244*I245</f>
        <v>0</v>
      </c>
    </row>
    <row r="247" spans="1:16" ht="15.95" customHeight="1">
      <c r="A247" s="321"/>
      <c r="B247" s="8"/>
      <c r="C247" s="1713" t="s">
        <v>732</v>
      </c>
      <c r="D247" s="1713"/>
      <c r="E247" s="1713"/>
      <c r="F247" s="1713"/>
      <c r="G247" s="1713"/>
      <c r="H247" s="8"/>
      <c r="I247" s="8"/>
    </row>
    <row r="248" spans="1:16" ht="15.95" customHeight="1">
      <c r="A248" s="1752" t="s">
        <v>694</v>
      </c>
      <c r="B248" s="1752"/>
      <c r="C248" s="333"/>
      <c r="D248" s="333"/>
      <c r="E248" s="333"/>
      <c r="F248" s="333"/>
      <c r="G248" s="333"/>
      <c r="H248" s="333"/>
      <c r="I248" s="333"/>
    </row>
    <row r="249" spans="1:16" ht="15.95" customHeight="1">
      <c r="A249" s="1753"/>
      <c r="B249" s="1753"/>
      <c r="C249" s="1723" t="s">
        <v>524</v>
      </c>
      <c r="D249" s="1724"/>
      <c r="E249" s="1724"/>
      <c r="F249" s="1723" t="s">
        <v>525</v>
      </c>
      <c r="G249" s="1724"/>
      <c r="H249" s="1724"/>
      <c r="I249" s="1109" t="s">
        <v>139</v>
      </c>
    </row>
    <row r="250" spans="1:16" ht="12" customHeight="1">
      <c r="A250" s="1126" t="s">
        <v>526</v>
      </c>
      <c r="B250" s="1134" t="s">
        <v>632</v>
      </c>
      <c r="C250" s="1126" t="s">
        <v>527</v>
      </c>
      <c r="D250" s="1128" t="s">
        <v>528</v>
      </c>
      <c r="E250" s="1129" t="s">
        <v>529</v>
      </c>
      <c r="F250" s="1130" t="s">
        <v>530</v>
      </c>
      <c r="G250" s="1131" t="s">
        <v>531</v>
      </c>
      <c r="H250" s="1132" t="s">
        <v>532</v>
      </c>
      <c r="I250" s="1133" t="s">
        <v>533</v>
      </c>
    </row>
    <row r="251" spans="1:16" ht="15.6" customHeight="1">
      <c r="A251" s="1745" t="s">
        <v>534</v>
      </c>
      <c r="B251" s="1125" t="s">
        <v>535</v>
      </c>
      <c r="C251" s="1725" t="s">
        <v>690</v>
      </c>
      <c r="D251" s="1740" t="s">
        <v>536</v>
      </c>
      <c r="E251" s="1719" t="s">
        <v>537</v>
      </c>
      <c r="F251" s="1727" t="s">
        <v>691</v>
      </c>
      <c r="G251" s="1717" t="s">
        <v>538</v>
      </c>
      <c r="H251" s="1719" t="s">
        <v>539</v>
      </c>
      <c r="I251" s="1714" t="s">
        <v>540</v>
      </c>
    </row>
    <row r="252" spans="1:16" ht="14.1" customHeight="1">
      <c r="A252" s="1746"/>
      <c r="B252" s="1137">
        <f>B202</f>
        <v>0</v>
      </c>
      <c r="C252" s="1726"/>
      <c r="D252" s="1741"/>
      <c r="E252" s="1720"/>
      <c r="F252" s="1728"/>
      <c r="G252" s="1718"/>
      <c r="H252" s="1720"/>
      <c r="I252" s="1715"/>
    </row>
    <row r="253" spans="1:16" ht="15.95" customHeight="1">
      <c r="A253" s="1114">
        <v>1</v>
      </c>
      <c r="B253" s="1136" t="str">
        <f>IF(B203&gt;0,B203,"")</f>
        <v/>
      </c>
      <c r="C253" s="1116"/>
      <c r="D253" s="1135" t="str">
        <f>IF(D203&gt;0,D203,"")</f>
        <v/>
      </c>
      <c r="E253" s="1120" t="str">
        <f t="shared" ref="E253:E280" si="15">IF(OR(ISBLANK(C253),ISBLANK(D253)),"",C253/D253)</f>
        <v/>
      </c>
      <c r="F253" s="1116"/>
      <c r="G253" s="1135" t="str">
        <f>IF(G203&gt;0,G203,"")</f>
        <v/>
      </c>
      <c r="H253" s="1120" t="str">
        <f t="shared" ref="H253:H280" si="16">IF(OR(ISBLANK(F253),ISBLANK(G253)),"",F253/G253)</f>
        <v/>
      </c>
      <c r="I253" s="1115">
        <f t="shared" ref="I253:I280" si="17">IF(OR(ISBLANK(D253),ISBLANK(G253)),"",MIN(E253,H253))</f>
        <v>0</v>
      </c>
    </row>
    <row r="254" spans="1:16">
      <c r="A254" s="1105">
        <v>2</v>
      </c>
      <c r="B254" s="1136" t="str">
        <f t="shared" ref="B254:B280" si="18">IF(B204&gt;0,B204,"")</f>
        <v/>
      </c>
      <c r="C254" s="1116"/>
      <c r="D254" s="1135" t="str">
        <f>IF(D204&gt;0,D204,"")</f>
        <v/>
      </c>
      <c r="E254" s="1121" t="str">
        <f t="shared" si="15"/>
        <v/>
      </c>
      <c r="F254" s="1116"/>
      <c r="G254" s="1135" t="str">
        <f>IF(G204&gt;0,G204,"")</f>
        <v/>
      </c>
      <c r="H254" s="1121" t="str">
        <f t="shared" si="16"/>
        <v/>
      </c>
      <c r="I254" s="1110">
        <f t="shared" si="17"/>
        <v>0</v>
      </c>
    </row>
    <row r="255" spans="1:16">
      <c r="A255" s="1104">
        <v>3</v>
      </c>
      <c r="B255" s="1136" t="str">
        <f t="shared" si="18"/>
        <v/>
      </c>
      <c r="C255" s="1116"/>
      <c r="D255" s="1135" t="str">
        <f t="shared" ref="D255:D280" si="19">IF(D205&gt;0,D205,"")</f>
        <v/>
      </c>
      <c r="E255" s="1121" t="str">
        <f t="shared" si="15"/>
        <v/>
      </c>
      <c r="F255" s="1116"/>
      <c r="G255" s="1135" t="str">
        <f t="shared" ref="G255:G280" si="20">IF(G205&gt;0,G205,"")</f>
        <v/>
      </c>
      <c r="H255" s="1121" t="str">
        <f t="shared" si="16"/>
        <v/>
      </c>
      <c r="I255" s="1110">
        <f t="shared" si="17"/>
        <v>0</v>
      </c>
    </row>
    <row r="256" spans="1:16">
      <c r="A256" s="1105">
        <v>4</v>
      </c>
      <c r="B256" s="1136" t="str">
        <f t="shared" si="18"/>
        <v/>
      </c>
      <c r="C256" s="1116"/>
      <c r="D256" s="1135" t="str">
        <f t="shared" si="19"/>
        <v/>
      </c>
      <c r="E256" s="1121" t="str">
        <f t="shared" si="15"/>
        <v/>
      </c>
      <c r="F256" s="1116"/>
      <c r="G256" s="1135" t="str">
        <f t="shared" si="20"/>
        <v/>
      </c>
      <c r="H256" s="1121" t="str">
        <f t="shared" si="16"/>
        <v/>
      </c>
      <c r="I256" s="1110">
        <f t="shared" si="17"/>
        <v>0</v>
      </c>
    </row>
    <row r="257" spans="1:9">
      <c r="A257" s="1104">
        <v>5</v>
      </c>
      <c r="B257" s="1136" t="str">
        <f t="shared" si="18"/>
        <v/>
      </c>
      <c r="C257" s="1116"/>
      <c r="D257" s="1135" t="str">
        <f t="shared" si="19"/>
        <v/>
      </c>
      <c r="E257" s="1121" t="str">
        <f t="shared" si="15"/>
        <v/>
      </c>
      <c r="F257" s="1116"/>
      <c r="G257" s="1135" t="str">
        <f t="shared" si="20"/>
        <v/>
      </c>
      <c r="H257" s="1121" t="str">
        <f t="shared" si="16"/>
        <v/>
      </c>
      <c r="I257" s="1110">
        <f t="shared" si="17"/>
        <v>0</v>
      </c>
    </row>
    <row r="258" spans="1:9">
      <c r="A258" s="1105">
        <v>6</v>
      </c>
      <c r="B258" s="1136" t="str">
        <f t="shared" si="18"/>
        <v/>
      </c>
      <c r="C258" s="1116"/>
      <c r="D258" s="1135" t="str">
        <f t="shared" si="19"/>
        <v/>
      </c>
      <c r="E258" s="1121" t="str">
        <f t="shared" si="15"/>
        <v/>
      </c>
      <c r="F258" s="1116"/>
      <c r="G258" s="1135" t="str">
        <f t="shared" si="20"/>
        <v/>
      </c>
      <c r="H258" s="1121" t="str">
        <f t="shared" si="16"/>
        <v/>
      </c>
      <c r="I258" s="1110">
        <f t="shared" si="17"/>
        <v>0</v>
      </c>
    </row>
    <row r="259" spans="1:9">
      <c r="A259" s="1104">
        <v>7</v>
      </c>
      <c r="B259" s="1136" t="str">
        <f t="shared" si="18"/>
        <v/>
      </c>
      <c r="C259" s="1116"/>
      <c r="D259" s="1135" t="str">
        <f t="shared" si="19"/>
        <v/>
      </c>
      <c r="E259" s="1121" t="str">
        <f t="shared" si="15"/>
        <v/>
      </c>
      <c r="F259" s="1116"/>
      <c r="G259" s="1135" t="str">
        <f t="shared" si="20"/>
        <v/>
      </c>
      <c r="H259" s="1121" t="str">
        <f t="shared" si="16"/>
        <v/>
      </c>
      <c r="I259" s="1110">
        <f t="shared" si="17"/>
        <v>0</v>
      </c>
    </row>
    <row r="260" spans="1:9">
      <c r="A260" s="1105">
        <v>8</v>
      </c>
      <c r="B260" s="1136" t="str">
        <f t="shared" si="18"/>
        <v/>
      </c>
      <c r="C260" s="1116"/>
      <c r="D260" s="1135" t="str">
        <f t="shared" si="19"/>
        <v/>
      </c>
      <c r="E260" s="1121" t="str">
        <f t="shared" si="15"/>
        <v/>
      </c>
      <c r="F260" s="1116"/>
      <c r="G260" s="1135" t="str">
        <f t="shared" si="20"/>
        <v/>
      </c>
      <c r="H260" s="1121" t="str">
        <f t="shared" si="16"/>
        <v/>
      </c>
      <c r="I260" s="1110">
        <f t="shared" si="17"/>
        <v>0</v>
      </c>
    </row>
    <row r="261" spans="1:9">
      <c r="A261" s="1104">
        <v>9</v>
      </c>
      <c r="B261" s="1136" t="str">
        <f t="shared" si="18"/>
        <v/>
      </c>
      <c r="C261" s="1116"/>
      <c r="D261" s="1135" t="str">
        <f t="shared" si="19"/>
        <v/>
      </c>
      <c r="E261" s="1121" t="str">
        <f t="shared" si="15"/>
        <v/>
      </c>
      <c r="F261" s="1116"/>
      <c r="G261" s="1135" t="str">
        <f t="shared" si="20"/>
        <v/>
      </c>
      <c r="H261" s="1121" t="str">
        <f t="shared" si="16"/>
        <v/>
      </c>
      <c r="I261" s="1110">
        <f t="shared" si="17"/>
        <v>0</v>
      </c>
    </row>
    <row r="262" spans="1:9">
      <c r="A262" s="1105">
        <v>10</v>
      </c>
      <c r="B262" s="1136" t="str">
        <f t="shared" si="18"/>
        <v/>
      </c>
      <c r="C262" s="1116"/>
      <c r="D262" s="1135" t="str">
        <f t="shared" si="19"/>
        <v/>
      </c>
      <c r="E262" s="1121" t="str">
        <f t="shared" si="15"/>
        <v/>
      </c>
      <c r="F262" s="1116"/>
      <c r="G262" s="1135" t="str">
        <f t="shared" si="20"/>
        <v/>
      </c>
      <c r="H262" s="1121" t="str">
        <f t="shared" si="16"/>
        <v/>
      </c>
      <c r="I262" s="1110">
        <f t="shared" si="17"/>
        <v>0</v>
      </c>
    </row>
    <row r="263" spans="1:9">
      <c r="A263" s="1104">
        <v>11</v>
      </c>
      <c r="B263" s="1136" t="str">
        <f t="shared" si="18"/>
        <v/>
      </c>
      <c r="C263" s="1116"/>
      <c r="D263" s="1135" t="str">
        <f t="shared" si="19"/>
        <v/>
      </c>
      <c r="E263" s="1121" t="str">
        <f t="shared" si="15"/>
        <v/>
      </c>
      <c r="F263" s="1116"/>
      <c r="G263" s="1135" t="str">
        <f t="shared" si="20"/>
        <v/>
      </c>
      <c r="H263" s="1121" t="str">
        <f t="shared" si="16"/>
        <v/>
      </c>
      <c r="I263" s="1110">
        <f t="shared" si="17"/>
        <v>0</v>
      </c>
    </row>
    <row r="264" spans="1:9">
      <c r="A264" s="1105">
        <v>12</v>
      </c>
      <c r="B264" s="1136" t="str">
        <f t="shared" si="18"/>
        <v/>
      </c>
      <c r="C264" s="1116"/>
      <c r="D264" s="1135" t="str">
        <f t="shared" si="19"/>
        <v/>
      </c>
      <c r="E264" s="1121" t="str">
        <f t="shared" si="15"/>
        <v/>
      </c>
      <c r="F264" s="1116"/>
      <c r="G264" s="1135" t="str">
        <f t="shared" si="20"/>
        <v/>
      </c>
      <c r="H264" s="1121" t="str">
        <f t="shared" si="16"/>
        <v/>
      </c>
      <c r="I264" s="1110">
        <f t="shared" si="17"/>
        <v>0</v>
      </c>
    </row>
    <row r="265" spans="1:9">
      <c r="A265" s="1104">
        <v>13</v>
      </c>
      <c r="B265" s="1136" t="str">
        <f t="shared" si="18"/>
        <v/>
      </c>
      <c r="C265" s="1116"/>
      <c r="D265" s="1135" t="str">
        <f t="shared" si="19"/>
        <v/>
      </c>
      <c r="E265" s="1121" t="str">
        <f t="shared" si="15"/>
        <v/>
      </c>
      <c r="F265" s="1116"/>
      <c r="G265" s="1135" t="str">
        <f t="shared" si="20"/>
        <v/>
      </c>
      <c r="H265" s="1121" t="str">
        <f t="shared" si="16"/>
        <v/>
      </c>
      <c r="I265" s="1110">
        <f t="shared" si="17"/>
        <v>0</v>
      </c>
    </row>
    <row r="266" spans="1:9">
      <c r="A266" s="1105">
        <v>14</v>
      </c>
      <c r="B266" s="1136" t="str">
        <f t="shared" si="18"/>
        <v/>
      </c>
      <c r="C266" s="1116"/>
      <c r="D266" s="1135" t="str">
        <f t="shared" si="19"/>
        <v/>
      </c>
      <c r="E266" s="1121" t="str">
        <f t="shared" si="15"/>
        <v/>
      </c>
      <c r="F266" s="1116"/>
      <c r="G266" s="1135" t="str">
        <f t="shared" si="20"/>
        <v/>
      </c>
      <c r="H266" s="1121" t="str">
        <f t="shared" si="16"/>
        <v/>
      </c>
      <c r="I266" s="1110">
        <f t="shared" si="17"/>
        <v>0</v>
      </c>
    </row>
    <row r="267" spans="1:9">
      <c r="A267" s="1104">
        <v>15</v>
      </c>
      <c r="B267" s="1136" t="str">
        <f t="shared" si="18"/>
        <v/>
      </c>
      <c r="C267" s="1116"/>
      <c r="D267" s="1135" t="str">
        <f t="shared" si="19"/>
        <v/>
      </c>
      <c r="E267" s="1121" t="str">
        <f t="shared" si="15"/>
        <v/>
      </c>
      <c r="F267" s="1116"/>
      <c r="G267" s="1135" t="str">
        <f t="shared" si="20"/>
        <v/>
      </c>
      <c r="H267" s="1121" t="str">
        <f t="shared" si="16"/>
        <v/>
      </c>
      <c r="I267" s="1110">
        <f t="shared" si="17"/>
        <v>0</v>
      </c>
    </row>
    <row r="268" spans="1:9">
      <c r="A268" s="1105">
        <v>16</v>
      </c>
      <c r="B268" s="1136" t="str">
        <f t="shared" si="18"/>
        <v/>
      </c>
      <c r="C268" s="1116"/>
      <c r="D268" s="1135" t="str">
        <f t="shared" si="19"/>
        <v/>
      </c>
      <c r="E268" s="1121" t="str">
        <f t="shared" si="15"/>
        <v/>
      </c>
      <c r="F268" s="1116"/>
      <c r="G268" s="1135" t="str">
        <f t="shared" si="20"/>
        <v/>
      </c>
      <c r="H268" s="1121" t="str">
        <f t="shared" si="16"/>
        <v/>
      </c>
      <c r="I268" s="1110">
        <f t="shared" si="17"/>
        <v>0</v>
      </c>
    </row>
    <row r="269" spans="1:9">
      <c r="A269" s="1104">
        <v>17</v>
      </c>
      <c r="B269" s="1136" t="str">
        <f t="shared" si="18"/>
        <v/>
      </c>
      <c r="C269" s="1116"/>
      <c r="D269" s="1135" t="str">
        <f t="shared" si="19"/>
        <v/>
      </c>
      <c r="E269" s="1121" t="str">
        <f t="shared" si="15"/>
        <v/>
      </c>
      <c r="F269" s="1116"/>
      <c r="G269" s="1135" t="str">
        <f t="shared" si="20"/>
        <v/>
      </c>
      <c r="H269" s="1121" t="str">
        <f t="shared" si="16"/>
        <v/>
      </c>
      <c r="I269" s="1110">
        <f t="shared" si="17"/>
        <v>0</v>
      </c>
    </row>
    <row r="270" spans="1:9">
      <c r="A270" s="1105">
        <v>18</v>
      </c>
      <c r="B270" s="1136" t="str">
        <f t="shared" si="18"/>
        <v/>
      </c>
      <c r="C270" s="1116"/>
      <c r="D270" s="1135" t="str">
        <f t="shared" si="19"/>
        <v/>
      </c>
      <c r="E270" s="1121" t="str">
        <f t="shared" si="15"/>
        <v/>
      </c>
      <c r="F270" s="1116"/>
      <c r="G270" s="1135" t="str">
        <f t="shared" si="20"/>
        <v/>
      </c>
      <c r="H270" s="1121" t="str">
        <f t="shared" si="16"/>
        <v/>
      </c>
      <c r="I270" s="1110">
        <f t="shared" si="17"/>
        <v>0</v>
      </c>
    </row>
    <row r="271" spans="1:9">
      <c r="A271" s="1104">
        <v>19</v>
      </c>
      <c r="B271" s="1136" t="str">
        <f t="shared" si="18"/>
        <v/>
      </c>
      <c r="C271" s="1116"/>
      <c r="D271" s="1135" t="str">
        <f t="shared" si="19"/>
        <v/>
      </c>
      <c r="E271" s="1121" t="str">
        <f t="shared" si="15"/>
        <v/>
      </c>
      <c r="F271" s="1116"/>
      <c r="G271" s="1135" t="str">
        <f t="shared" si="20"/>
        <v/>
      </c>
      <c r="H271" s="1121" t="str">
        <f t="shared" si="16"/>
        <v/>
      </c>
      <c r="I271" s="1110">
        <f t="shared" si="17"/>
        <v>0</v>
      </c>
    </row>
    <row r="272" spans="1:9">
      <c r="A272" s="1105">
        <v>20</v>
      </c>
      <c r="B272" s="1136" t="str">
        <f t="shared" si="18"/>
        <v/>
      </c>
      <c r="C272" s="1116"/>
      <c r="D272" s="1135" t="str">
        <f t="shared" si="19"/>
        <v/>
      </c>
      <c r="E272" s="1121" t="str">
        <f t="shared" si="15"/>
        <v/>
      </c>
      <c r="F272" s="1116"/>
      <c r="G272" s="1135" t="str">
        <f t="shared" si="20"/>
        <v/>
      </c>
      <c r="H272" s="1121" t="str">
        <f t="shared" si="16"/>
        <v/>
      </c>
      <c r="I272" s="1110">
        <f t="shared" si="17"/>
        <v>0</v>
      </c>
    </row>
    <row r="273" spans="1:9">
      <c r="A273" s="1104">
        <v>21</v>
      </c>
      <c r="B273" s="1136" t="str">
        <f t="shared" si="18"/>
        <v/>
      </c>
      <c r="C273" s="1116"/>
      <c r="D273" s="1135" t="str">
        <f t="shared" si="19"/>
        <v/>
      </c>
      <c r="E273" s="1121" t="str">
        <f t="shared" si="15"/>
        <v/>
      </c>
      <c r="F273" s="1116"/>
      <c r="G273" s="1135" t="str">
        <f t="shared" si="20"/>
        <v/>
      </c>
      <c r="H273" s="1121" t="str">
        <f t="shared" si="16"/>
        <v/>
      </c>
      <c r="I273" s="1110">
        <f t="shared" si="17"/>
        <v>0</v>
      </c>
    </row>
    <row r="274" spans="1:9">
      <c r="A274" s="1105">
        <v>22</v>
      </c>
      <c r="B274" s="1136" t="str">
        <f t="shared" si="18"/>
        <v/>
      </c>
      <c r="C274" s="1116"/>
      <c r="D274" s="1135" t="str">
        <f t="shared" si="19"/>
        <v/>
      </c>
      <c r="E274" s="1121" t="str">
        <f t="shared" si="15"/>
        <v/>
      </c>
      <c r="F274" s="1116"/>
      <c r="G274" s="1135" t="str">
        <f t="shared" si="20"/>
        <v/>
      </c>
      <c r="H274" s="1121" t="str">
        <f t="shared" si="16"/>
        <v/>
      </c>
      <c r="I274" s="1110">
        <f t="shared" si="17"/>
        <v>0</v>
      </c>
    </row>
    <row r="275" spans="1:9">
      <c r="A275" s="1104">
        <v>23</v>
      </c>
      <c r="B275" s="1136" t="str">
        <f t="shared" si="18"/>
        <v/>
      </c>
      <c r="C275" s="1116"/>
      <c r="D275" s="1135" t="str">
        <f t="shared" si="19"/>
        <v/>
      </c>
      <c r="E275" s="1121" t="str">
        <f t="shared" si="15"/>
        <v/>
      </c>
      <c r="F275" s="1116"/>
      <c r="G275" s="1135" t="str">
        <f t="shared" si="20"/>
        <v/>
      </c>
      <c r="H275" s="1121" t="str">
        <f t="shared" si="16"/>
        <v/>
      </c>
      <c r="I275" s="1110">
        <f t="shared" si="17"/>
        <v>0</v>
      </c>
    </row>
    <row r="276" spans="1:9">
      <c r="A276" s="1105">
        <v>24</v>
      </c>
      <c r="B276" s="1136" t="str">
        <f t="shared" si="18"/>
        <v/>
      </c>
      <c r="C276" s="1116"/>
      <c r="D276" s="1135" t="str">
        <f t="shared" si="19"/>
        <v/>
      </c>
      <c r="E276" s="1121" t="str">
        <f t="shared" si="15"/>
        <v/>
      </c>
      <c r="F276" s="1116"/>
      <c r="G276" s="1135" t="str">
        <f t="shared" si="20"/>
        <v/>
      </c>
      <c r="H276" s="1121" t="str">
        <f t="shared" si="16"/>
        <v/>
      </c>
      <c r="I276" s="1110">
        <f t="shared" si="17"/>
        <v>0</v>
      </c>
    </row>
    <row r="277" spans="1:9">
      <c r="A277" s="1104">
        <v>25</v>
      </c>
      <c r="B277" s="1136" t="str">
        <f t="shared" si="18"/>
        <v/>
      </c>
      <c r="C277" s="1116"/>
      <c r="D277" s="1135" t="str">
        <f t="shared" si="19"/>
        <v/>
      </c>
      <c r="E277" s="1121" t="str">
        <f t="shared" si="15"/>
        <v/>
      </c>
      <c r="F277" s="1116"/>
      <c r="G277" s="1135" t="str">
        <f t="shared" si="20"/>
        <v/>
      </c>
      <c r="H277" s="1121" t="str">
        <f t="shared" si="16"/>
        <v/>
      </c>
      <c r="I277" s="1110">
        <f t="shared" si="17"/>
        <v>0</v>
      </c>
    </row>
    <row r="278" spans="1:9">
      <c r="A278" s="1105">
        <v>26</v>
      </c>
      <c r="B278" s="1136" t="str">
        <f t="shared" si="18"/>
        <v/>
      </c>
      <c r="C278" s="1116"/>
      <c r="D278" s="1135" t="str">
        <f t="shared" si="19"/>
        <v/>
      </c>
      <c r="E278" s="1121" t="str">
        <f t="shared" si="15"/>
        <v/>
      </c>
      <c r="F278" s="1116"/>
      <c r="G278" s="1135" t="str">
        <f t="shared" si="20"/>
        <v/>
      </c>
      <c r="H278" s="1121" t="str">
        <f t="shared" si="16"/>
        <v/>
      </c>
      <c r="I278" s="1110">
        <f t="shared" si="17"/>
        <v>0</v>
      </c>
    </row>
    <row r="279" spans="1:9">
      <c r="A279" s="1104">
        <v>27</v>
      </c>
      <c r="B279" s="1136" t="str">
        <f t="shared" si="18"/>
        <v/>
      </c>
      <c r="C279" s="1116"/>
      <c r="D279" s="1135" t="str">
        <f t="shared" si="19"/>
        <v/>
      </c>
      <c r="E279" s="1121" t="str">
        <f t="shared" si="15"/>
        <v/>
      </c>
      <c r="F279" s="1116"/>
      <c r="G279" s="1135" t="str">
        <f t="shared" si="20"/>
        <v/>
      </c>
      <c r="H279" s="1121" t="str">
        <f t="shared" si="16"/>
        <v/>
      </c>
      <c r="I279" s="1110">
        <f t="shared" si="17"/>
        <v>0</v>
      </c>
    </row>
    <row r="280" spans="1:9">
      <c r="A280" s="1106">
        <v>28</v>
      </c>
      <c r="B280" s="1136" t="str">
        <f t="shared" si="18"/>
        <v/>
      </c>
      <c r="C280" s="1116"/>
      <c r="D280" s="1135" t="str">
        <f t="shared" si="19"/>
        <v/>
      </c>
      <c r="E280" s="1122" t="str">
        <f t="shared" si="15"/>
        <v/>
      </c>
      <c r="F280" s="1116"/>
      <c r="G280" s="1135" t="str">
        <f t="shared" si="20"/>
        <v/>
      </c>
      <c r="H280" s="1122" t="str">
        <f t="shared" si="16"/>
        <v/>
      </c>
      <c r="I280" s="1111">
        <f t="shared" si="17"/>
        <v>0</v>
      </c>
    </row>
    <row r="281" spans="1:9">
      <c r="A281" s="1107"/>
      <c r="B281" s="1108" t="s">
        <v>541</v>
      </c>
      <c r="C281" s="1118">
        <f>SUM(C253:C280)</f>
        <v>0</v>
      </c>
      <c r="D281" s="1119">
        <f>SUM(D253:D280)</f>
        <v>0</v>
      </c>
      <c r="E281" s="1123" t="str">
        <f>IF(D281&lt;0.01,"",C281/D281)</f>
        <v/>
      </c>
      <c r="F281" s="1118">
        <f>SUM(F253:F280)</f>
        <v>0</v>
      </c>
      <c r="G281" s="1119">
        <f>SUM(G253:G280)</f>
        <v>0</v>
      </c>
      <c r="H281" s="1123" t="str">
        <f>IF(G281&lt;0.01,"",F281/G281)</f>
        <v/>
      </c>
      <c r="I281" s="1112" t="str">
        <f>IF(OR(D281&lt;0.01,G281&lt;0.01),"",MIN(E281,H281))</f>
        <v/>
      </c>
    </row>
    <row r="282" spans="1:9">
      <c r="A282" s="335" t="s">
        <v>542</v>
      </c>
      <c r="H282" s="336" t="s">
        <v>643</v>
      </c>
      <c r="I282" s="337">
        <f>+SUM('Development Budget'!K74:L74)</f>
        <v>0</v>
      </c>
    </row>
    <row r="283" spans="1:9">
      <c r="I283" s="338" t="s">
        <v>695</v>
      </c>
    </row>
    <row r="284" spans="1:9">
      <c r="H284" s="340" t="s">
        <v>633</v>
      </c>
      <c r="I284" s="341">
        <f>I234</f>
        <v>0</v>
      </c>
    </row>
    <row r="285" spans="1:9">
      <c r="G285" s="8"/>
      <c r="H285" s="340" t="s">
        <v>634</v>
      </c>
      <c r="I285" s="341">
        <f>I235</f>
        <v>0</v>
      </c>
    </row>
    <row r="286" spans="1:9">
      <c r="G286" s="337"/>
      <c r="H286" s="340" t="s">
        <v>635</v>
      </c>
      <c r="I286" s="341">
        <f>I236</f>
        <v>0</v>
      </c>
    </row>
    <row r="287" spans="1:9">
      <c r="G287" s="8"/>
      <c r="H287" s="340" t="s">
        <v>636</v>
      </c>
      <c r="I287" s="341">
        <f>I237</f>
        <v>0</v>
      </c>
    </row>
    <row r="288" spans="1:9">
      <c r="H288" s="340" t="s">
        <v>637</v>
      </c>
      <c r="I288" s="253">
        <f>I238</f>
        <v>0</v>
      </c>
    </row>
    <row r="289" spans="1:21">
      <c r="H289" s="343" t="s">
        <v>644</v>
      </c>
      <c r="I289" s="342">
        <f>I282-I284-I285-I286-I287-I288</f>
        <v>0</v>
      </c>
    </row>
    <row r="290" spans="1:21">
      <c r="H290" s="343" t="s">
        <v>641</v>
      </c>
      <c r="I290" s="419" t="str">
        <f>I281</f>
        <v/>
      </c>
    </row>
    <row r="291" spans="1:21">
      <c r="H291" s="343" t="s">
        <v>687</v>
      </c>
      <c r="I291" s="350">
        <f>IF(I289&gt;0,I289*I290,0)</f>
        <v>0</v>
      </c>
    </row>
    <row r="292" spans="1:21">
      <c r="A292" s="55"/>
      <c r="B292" s="62"/>
      <c r="C292" s="8"/>
      <c r="D292" s="8"/>
      <c r="E292" s="8"/>
      <c r="G292" s="351" t="s">
        <v>642</v>
      </c>
      <c r="H292" s="353"/>
      <c r="I292" s="254"/>
    </row>
    <row r="293" spans="1:21">
      <c r="A293" s="356"/>
      <c r="B293" s="62"/>
      <c r="C293" s="8"/>
      <c r="D293" s="8"/>
      <c r="E293" s="8"/>
      <c r="F293" s="357"/>
      <c r="G293" s="354"/>
      <c r="H293" s="355" t="s">
        <v>693</v>
      </c>
      <c r="I293" s="342">
        <f>I291*I292</f>
        <v>0</v>
      </c>
    </row>
    <row r="294" spans="1:21">
      <c r="A294" s="605"/>
      <c r="B294" s="127"/>
      <c r="C294" s="11"/>
      <c r="D294" s="11"/>
      <c r="E294" s="601"/>
      <c r="F294" s="602"/>
      <c r="G294" s="603"/>
      <c r="H294" s="604" t="s">
        <v>684</v>
      </c>
      <c r="I294" s="598">
        <f>I293+I246</f>
        <v>0</v>
      </c>
      <c r="J294" s="597"/>
    </row>
    <row r="295" spans="1:21">
      <c r="A295" s="606"/>
      <c r="B295" s="127"/>
      <c r="C295" s="11"/>
      <c r="D295" s="11"/>
      <c r="E295" s="1713" t="s">
        <v>730</v>
      </c>
      <c r="F295" s="1713"/>
      <c r="G295" s="1713"/>
      <c r="H295" s="1713"/>
      <c r="J295" s="597"/>
    </row>
    <row r="298" spans="1:21">
      <c r="A298" s="358"/>
      <c r="U298" s="359" t="s">
        <v>543</v>
      </c>
    </row>
    <row r="299" spans="1:21">
      <c r="U299" s="360" t="s">
        <v>34</v>
      </c>
    </row>
    <row r="300" spans="1:21">
      <c r="U300" s="8" t="s">
        <v>544</v>
      </c>
    </row>
    <row r="301" spans="1:21">
      <c r="U301" s="8" t="s">
        <v>545</v>
      </c>
    </row>
    <row r="302" spans="1:21">
      <c r="U302" s="8" t="s">
        <v>546</v>
      </c>
    </row>
    <row r="303" spans="1:21">
      <c r="U303" s="8" t="s">
        <v>547</v>
      </c>
    </row>
    <row r="304" spans="1:21">
      <c r="U304" s="8" t="s">
        <v>548</v>
      </c>
    </row>
    <row r="305" spans="1:21">
      <c r="A305" s="358"/>
      <c r="U305" s="8" t="s">
        <v>549</v>
      </c>
    </row>
    <row r="306" spans="1:21">
      <c r="A306" s="358"/>
      <c r="U306" s="8" t="s">
        <v>550</v>
      </c>
    </row>
    <row r="307" spans="1:21">
      <c r="A307" s="358"/>
      <c r="U307" s="8" t="s">
        <v>551</v>
      </c>
    </row>
    <row r="308" spans="1:21">
      <c r="A308" s="358"/>
      <c r="U308" s="8" t="s">
        <v>552</v>
      </c>
    </row>
    <row r="309" spans="1:21">
      <c r="U309" s="8" t="s">
        <v>553</v>
      </c>
    </row>
    <row r="310" spans="1:21">
      <c r="A310" s="358"/>
      <c r="U310" s="8" t="s">
        <v>554</v>
      </c>
    </row>
    <row r="311" spans="1:21">
      <c r="A311" s="358"/>
      <c r="U311" s="8" t="s">
        <v>555</v>
      </c>
    </row>
    <row r="312" spans="1:21">
      <c r="A312" s="358"/>
      <c r="U312" s="8" t="s">
        <v>556</v>
      </c>
    </row>
    <row r="313" spans="1:21">
      <c r="A313" s="358"/>
      <c r="U313" s="8" t="s">
        <v>557</v>
      </c>
    </row>
    <row r="314" spans="1:21">
      <c r="U314" s="8" t="s">
        <v>558</v>
      </c>
    </row>
    <row r="315" spans="1:21">
      <c r="U315" s="8" t="s">
        <v>559</v>
      </c>
    </row>
    <row r="316" spans="1:21">
      <c r="A316" s="358"/>
      <c r="U316" s="8" t="s">
        <v>560</v>
      </c>
    </row>
    <row r="317" spans="1:21">
      <c r="U317" s="8" t="s">
        <v>561</v>
      </c>
    </row>
    <row r="318" spans="1:21">
      <c r="U318" s="8" t="s">
        <v>562</v>
      </c>
    </row>
    <row r="319" spans="1:21">
      <c r="A319" s="358"/>
      <c r="U319" s="8" t="s">
        <v>563</v>
      </c>
    </row>
    <row r="320" spans="1:21">
      <c r="A320" s="358"/>
      <c r="U320" s="8" t="s">
        <v>564</v>
      </c>
    </row>
    <row r="321" spans="1:21">
      <c r="B321" s="343"/>
      <c r="U321" s="8" t="s">
        <v>565</v>
      </c>
    </row>
    <row r="322" spans="1:21">
      <c r="A322" s="358"/>
      <c r="B322" s="361"/>
      <c r="U322" s="8" t="s">
        <v>566</v>
      </c>
    </row>
    <row r="323" spans="1:21">
      <c r="A323" s="358"/>
      <c r="B323" s="361"/>
      <c r="U323" s="8" t="s">
        <v>567</v>
      </c>
    </row>
    <row r="324" spans="1:21">
      <c r="A324" s="358"/>
      <c r="U324" s="8" t="s">
        <v>568</v>
      </c>
    </row>
    <row r="325" spans="1:21">
      <c r="B325" s="362"/>
      <c r="U325" s="8" t="s">
        <v>569</v>
      </c>
    </row>
    <row r="326" spans="1:21">
      <c r="U326" s="8" t="s">
        <v>570</v>
      </c>
    </row>
    <row r="327" spans="1:21">
      <c r="U327" s="8" t="s">
        <v>571</v>
      </c>
    </row>
    <row r="328" spans="1:21">
      <c r="U328" s="8" t="s">
        <v>518</v>
      </c>
    </row>
    <row r="329" spans="1:21">
      <c r="U329" s="8" t="s">
        <v>572</v>
      </c>
    </row>
    <row r="330" spans="1:21">
      <c r="U330" s="8" t="s">
        <v>573</v>
      </c>
    </row>
    <row r="331" spans="1:21">
      <c r="U331" s="8" t="s">
        <v>574</v>
      </c>
    </row>
    <row r="332" spans="1:21">
      <c r="U332" s="8" t="s">
        <v>575</v>
      </c>
    </row>
    <row r="333" spans="1:21">
      <c r="U333" s="8" t="s">
        <v>576</v>
      </c>
    </row>
    <row r="334" spans="1:21">
      <c r="U334" s="8" t="s">
        <v>577</v>
      </c>
    </row>
    <row r="335" spans="1:21">
      <c r="U335" s="8" t="s">
        <v>578</v>
      </c>
    </row>
    <row r="336" spans="1:21">
      <c r="U336" s="8" t="s">
        <v>579</v>
      </c>
    </row>
    <row r="337" spans="2:21">
      <c r="U337" s="8" t="s">
        <v>580</v>
      </c>
    </row>
    <row r="338" spans="2:21" hidden="1">
      <c r="U338" s="8" t="s">
        <v>581</v>
      </c>
    </row>
    <row r="339" spans="2:21" hidden="1">
      <c r="B339" s="310" t="s">
        <v>488</v>
      </c>
      <c r="C339" s="8"/>
      <c r="D339" s="311" t="s">
        <v>489</v>
      </c>
      <c r="E339" s="310" t="s">
        <v>490</v>
      </c>
      <c r="U339" s="8" t="s">
        <v>582</v>
      </c>
    </row>
    <row r="340" spans="2:21" hidden="1">
      <c r="B340" s="312"/>
      <c r="C340" s="8"/>
      <c r="D340" s="312"/>
      <c r="E340" s="310"/>
      <c r="U340" s="8" t="s">
        <v>583</v>
      </c>
    </row>
    <row r="341" spans="2:21" hidden="1">
      <c r="B341" s="313" t="s">
        <v>341</v>
      </c>
      <c r="C341" s="8"/>
      <c r="D341" s="314" t="s">
        <v>425</v>
      </c>
      <c r="E341" s="314" t="s">
        <v>492</v>
      </c>
      <c r="U341" s="8" t="s">
        <v>584</v>
      </c>
    </row>
    <row r="342" spans="2:21" hidden="1">
      <c r="B342" s="313" t="s">
        <v>347</v>
      </c>
      <c r="C342" s="8"/>
      <c r="D342" s="8"/>
      <c r="E342" s="8"/>
      <c r="U342" s="8" t="s">
        <v>585</v>
      </c>
    </row>
    <row r="343" spans="2:21" hidden="1">
      <c r="B343" s="319" t="s">
        <v>649</v>
      </c>
      <c r="C343" s="8"/>
      <c r="D343" s="8"/>
      <c r="E343" s="8"/>
      <c r="U343" s="8" t="s">
        <v>586</v>
      </c>
    </row>
    <row r="344" spans="2:21" hidden="1">
      <c r="U344" s="8" t="s">
        <v>587</v>
      </c>
    </row>
    <row r="345" spans="2:21">
      <c r="U345" s="8" t="s">
        <v>588</v>
      </c>
    </row>
    <row r="346" spans="2:21">
      <c r="U346" s="8" t="s">
        <v>589</v>
      </c>
    </row>
    <row r="347" spans="2:21">
      <c r="U347" s="8" t="s">
        <v>590</v>
      </c>
    </row>
    <row r="348" spans="2:21">
      <c r="U348" s="8" t="s">
        <v>591</v>
      </c>
    </row>
    <row r="349" spans="2:21">
      <c r="U349" s="8" t="s">
        <v>592</v>
      </c>
    </row>
    <row r="350" spans="2:21">
      <c r="U350" s="8" t="s">
        <v>593</v>
      </c>
    </row>
    <row r="351" spans="2:21">
      <c r="U351" s="8" t="s">
        <v>594</v>
      </c>
    </row>
    <row r="352" spans="2:21">
      <c r="U352" s="8" t="s">
        <v>595</v>
      </c>
    </row>
    <row r="353" spans="21:21">
      <c r="U353" s="8" t="s">
        <v>596</v>
      </c>
    </row>
    <row r="354" spans="21:21">
      <c r="U354" s="8" t="s">
        <v>597</v>
      </c>
    </row>
    <row r="355" spans="21:21">
      <c r="U355" s="8" t="s">
        <v>598</v>
      </c>
    </row>
    <row r="356" spans="21:21">
      <c r="U356" s="8" t="s">
        <v>599</v>
      </c>
    </row>
    <row r="357" spans="21:21">
      <c r="U357" s="8" t="s">
        <v>600</v>
      </c>
    </row>
    <row r="358" spans="21:21">
      <c r="U358" s="8" t="s">
        <v>601</v>
      </c>
    </row>
    <row r="359" spans="21:21">
      <c r="U359" s="8" t="s">
        <v>602</v>
      </c>
    </row>
    <row r="360" spans="21:21">
      <c r="U360" s="8" t="s">
        <v>603</v>
      </c>
    </row>
    <row r="361" spans="21:21">
      <c r="U361" s="8" t="s">
        <v>604</v>
      </c>
    </row>
    <row r="362" spans="21:21">
      <c r="U362" s="363"/>
    </row>
  </sheetData>
  <sheetProtection algorithmName="SHA-512" hashValue="YO8wVBLxMub//wYqAILIyzdNEcZENiUKZFncA7GYKBjR22El99Gu1TAadVMWefev/hEBPhXk8bBrrCBeCw+2Yw==" saltValue="r28r7GG9KEShR4NhRV04Rw==" spinCount="100000" sheet="1" objects="1" scenarios="1"/>
  <mergeCells count="189">
    <mergeCell ref="A102:A103"/>
    <mergeCell ref="A152:A153"/>
    <mergeCell ref="A201:A202"/>
    <mergeCell ref="A251:A252"/>
    <mergeCell ref="I251:I252"/>
    <mergeCell ref="D251:D252"/>
    <mergeCell ref="C251:C252"/>
    <mergeCell ref="C3:G3"/>
    <mergeCell ref="E13:F13"/>
    <mergeCell ref="G13:H13"/>
    <mergeCell ref="E14:F14"/>
    <mergeCell ref="G14:H14"/>
    <mergeCell ref="G15:H15"/>
    <mergeCell ref="C42:G43"/>
    <mergeCell ref="A248:B249"/>
    <mergeCell ref="C249:E249"/>
    <mergeCell ref="F249:H249"/>
    <mergeCell ref="E152:E153"/>
    <mergeCell ref="F152:F153"/>
    <mergeCell ref="C102:C103"/>
    <mergeCell ref="D102:D103"/>
    <mergeCell ref="E102:E103"/>
    <mergeCell ref="F102:F103"/>
    <mergeCell ref="G102:G103"/>
    <mergeCell ref="A198:B199"/>
    <mergeCell ref="D201:D202"/>
    <mergeCell ref="E201:E202"/>
    <mergeCell ref="F201:F202"/>
    <mergeCell ref="G201:G202"/>
    <mergeCell ref="H201:H202"/>
    <mergeCell ref="A149:B150"/>
    <mergeCell ref="C150:E150"/>
    <mergeCell ref="F150:H150"/>
    <mergeCell ref="C152:C153"/>
    <mergeCell ref="D152:D153"/>
    <mergeCell ref="A95:C95"/>
    <mergeCell ref="D95:E95"/>
    <mergeCell ref="G95:I95"/>
    <mergeCell ref="A96:C96"/>
    <mergeCell ref="D96:E96"/>
    <mergeCell ref="G96:I96"/>
    <mergeCell ref="C98:G98"/>
    <mergeCell ref="A99:B100"/>
    <mergeCell ref="C100:E100"/>
    <mergeCell ref="F100:H100"/>
    <mergeCell ref="E295:H295"/>
    <mergeCell ref="E196:H196"/>
    <mergeCell ref="I102:I103"/>
    <mergeCell ref="C148:G148"/>
    <mergeCell ref="C247:G247"/>
    <mergeCell ref="I201:I202"/>
    <mergeCell ref="G152:G153"/>
    <mergeCell ref="H152:H153"/>
    <mergeCell ref="I152:I153"/>
    <mergeCell ref="C197:G197"/>
    <mergeCell ref="C199:E199"/>
    <mergeCell ref="F199:H199"/>
    <mergeCell ref="C201:C202"/>
    <mergeCell ref="E251:E252"/>
    <mergeCell ref="F251:F252"/>
    <mergeCell ref="G251:G252"/>
    <mergeCell ref="H251:H252"/>
    <mergeCell ref="H102:H103"/>
    <mergeCell ref="A88:C88"/>
    <mergeCell ref="D88:E88"/>
    <mergeCell ref="G88:I88"/>
    <mergeCell ref="A85:C85"/>
    <mergeCell ref="D85:E85"/>
    <mergeCell ref="D94:E94"/>
    <mergeCell ref="G94:I94"/>
    <mergeCell ref="A89:C89"/>
    <mergeCell ref="D89:E89"/>
    <mergeCell ref="G89:I89"/>
    <mergeCell ref="A90:C90"/>
    <mergeCell ref="D90:E90"/>
    <mergeCell ref="G90:I90"/>
    <mergeCell ref="A91:C91"/>
    <mergeCell ref="D91:E91"/>
    <mergeCell ref="G91:I91"/>
    <mergeCell ref="A92:C92"/>
    <mergeCell ref="D92:E92"/>
    <mergeCell ref="G92:I92"/>
    <mergeCell ref="A93:C93"/>
    <mergeCell ref="D93:E93"/>
    <mergeCell ref="G93:I93"/>
    <mergeCell ref="A94:C94"/>
    <mergeCell ref="G85:I85"/>
    <mergeCell ref="A86:C86"/>
    <mergeCell ref="D86:E86"/>
    <mergeCell ref="G86:I86"/>
    <mergeCell ref="A87:C87"/>
    <mergeCell ref="D87:E87"/>
    <mergeCell ref="G87:I87"/>
    <mergeCell ref="A84:C84"/>
    <mergeCell ref="D84:E84"/>
    <mergeCell ref="G84:I84"/>
    <mergeCell ref="A64:B64"/>
    <mergeCell ref="C64:E64"/>
    <mergeCell ref="F64:H64"/>
    <mergeCell ref="A65:B65"/>
    <mergeCell ref="C65:E65"/>
    <mergeCell ref="F65:H65"/>
    <mergeCell ref="A66:B66"/>
    <mergeCell ref="C66:E66"/>
    <mergeCell ref="F66:H66"/>
    <mergeCell ref="A62:B62"/>
    <mergeCell ref="C62:E62"/>
    <mergeCell ref="F62:H62"/>
    <mergeCell ref="C59:E59"/>
    <mergeCell ref="F59:H59"/>
    <mergeCell ref="A63:B63"/>
    <mergeCell ref="C63:E63"/>
    <mergeCell ref="F63:H63"/>
    <mergeCell ref="A61:B61"/>
    <mergeCell ref="C60:E60"/>
    <mergeCell ref="F60:H60"/>
    <mergeCell ref="A59:B59"/>
    <mergeCell ref="C61:E61"/>
    <mergeCell ref="F61:H61"/>
    <mergeCell ref="A60:B60"/>
    <mergeCell ref="A55:B55"/>
    <mergeCell ref="C55:E55"/>
    <mergeCell ref="F55:H55"/>
    <mergeCell ref="A56:B56"/>
    <mergeCell ref="C56:E56"/>
    <mergeCell ref="A51:B51"/>
    <mergeCell ref="C51:E51"/>
    <mergeCell ref="F51:H51"/>
    <mergeCell ref="F56:H56"/>
    <mergeCell ref="A18:D18"/>
    <mergeCell ref="E19:F19"/>
    <mergeCell ref="F48:H48"/>
    <mergeCell ref="A45:B45"/>
    <mergeCell ref="C45:E45"/>
    <mergeCell ref="A49:B49"/>
    <mergeCell ref="C49:E49"/>
    <mergeCell ref="F49:H49"/>
    <mergeCell ref="C40:G40"/>
    <mergeCell ref="C48:E48"/>
    <mergeCell ref="E20:F20"/>
    <mergeCell ref="G20:H20"/>
    <mergeCell ref="E15:F15"/>
    <mergeCell ref="E18:F18"/>
    <mergeCell ref="G18:H18"/>
    <mergeCell ref="A68:I68"/>
    <mergeCell ref="E79:F79"/>
    <mergeCell ref="D81:F81"/>
    <mergeCell ref="A82:C83"/>
    <mergeCell ref="D82:E83"/>
    <mergeCell ref="F82:F83"/>
    <mergeCell ref="G82:I83"/>
    <mergeCell ref="G19:H19"/>
    <mergeCell ref="A50:B50"/>
    <mergeCell ref="C22:H22"/>
    <mergeCell ref="C36:H36"/>
    <mergeCell ref="C38:G38"/>
    <mergeCell ref="C50:E50"/>
    <mergeCell ref="F50:H50"/>
    <mergeCell ref="A57:B57"/>
    <mergeCell ref="C57:E57"/>
    <mergeCell ref="F57:H57"/>
    <mergeCell ref="A58:B58"/>
    <mergeCell ref="C58:E58"/>
    <mergeCell ref="E73:G73"/>
    <mergeCell ref="F58:H58"/>
    <mergeCell ref="D1:E1"/>
    <mergeCell ref="D7:E7"/>
    <mergeCell ref="A54:B54"/>
    <mergeCell ref="C54:E54"/>
    <mergeCell ref="F54:H54"/>
    <mergeCell ref="A52:B52"/>
    <mergeCell ref="C52:E52"/>
    <mergeCell ref="F52:H52"/>
    <mergeCell ref="A53:B53"/>
    <mergeCell ref="C53:E53"/>
    <mergeCell ref="F53:H53"/>
    <mergeCell ref="E17:F17"/>
    <mergeCell ref="G17:H17"/>
    <mergeCell ref="E16:F16"/>
    <mergeCell ref="G16:H16"/>
    <mergeCell ref="F45:H45"/>
    <mergeCell ref="A46:B46"/>
    <mergeCell ref="C46:E46"/>
    <mergeCell ref="F46:H46"/>
    <mergeCell ref="A47:B47"/>
    <mergeCell ref="C47:E47"/>
    <mergeCell ref="F47:H47"/>
    <mergeCell ref="A48:B48"/>
    <mergeCell ref="F8:G8"/>
  </mergeCells>
  <dataValidations xWindow="670" yWindow="788" count="11">
    <dataValidation type="list" allowBlank="1" showInputMessage="1" showErrorMessage="1" sqref="A31" xr:uid="{F9095C8B-9AA3-4ACF-8041-7BF45ACA2E85}">
      <formula1>$S$2:$S$3</formula1>
    </dataValidation>
    <dataValidation type="list" allowBlank="1" showInputMessage="1" showErrorMessage="1" sqref="G38 G44" xr:uid="{C9EEE016-EB8F-4E6A-ADEE-DF09C1492BEF}">
      <formula1>$R$2:$R$3</formula1>
    </dataValidation>
    <dataValidation allowBlank="1" showErrorMessage="1" promptTitle="Adjusted Basis Boost" sqref="E75" xr:uid="{6BA13B38-F8A8-4567-B36B-B91E651436DC}"/>
    <dataValidation type="list" allowBlank="1" showInputMessage="1" showErrorMessage="1" sqref="A25 A27 A30 A32" xr:uid="{5B9D1BF6-AA50-41EC-96E2-BD69B31675B8}">
      <formula1>$O$4</formula1>
    </dataValidation>
    <dataValidation type="list" allowBlank="1" showInputMessage="1" showErrorMessage="1" sqref="G72 E74 G77" xr:uid="{8645B66E-1CA0-4517-B418-9B8D89E97E7E}">
      <formula1>"Yes, No"</formula1>
    </dataValidation>
    <dataValidation allowBlank="1" showInputMessage="1" showErrorMessage="1" promptTitle="Funding Source" prompt="Enter the name of the governmental agency administering the program subsidy. " sqref="A45:B46" xr:uid="{7C0CCECE-E8F0-41A1-93A6-787E10AFB478}"/>
    <dataValidation allowBlank="1" showInputMessage="1" showErrorMessage="1" promptTitle="Program" prompt="Enter the name of the subsidy program." sqref="C45:E46" xr:uid="{E1C0519B-2E25-4BB9-B16F-7A81BF0C1541}"/>
    <dataValidation allowBlank="1" showInputMessage="1" showErrorMessage="1" promptTitle="Type" prompt="Enter type of subsidy to be provided, for example: loan, grant, rental assistance, tax credits. " sqref="F45:H46" xr:uid="{56A53AA5-C85F-4CBB-A8CD-DA8DE87FF184}"/>
    <dataValidation allowBlank="1" showInputMessage="1" showErrorMessage="1" promptTitle="Value" prompt="Enter the dollar value of the subsidy.  For rental assistance enter the number of units of rental assitance provided." sqref="I45:I46" xr:uid="{713FE14E-35FE-4679-A83C-FCA1F4A7F858}"/>
    <dataValidation type="list" allowBlank="1" showInputMessage="1" showErrorMessage="1" sqref="F8:G8" xr:uid="{958A3880-FC68-4762-B57F-DF45364BDEDF}">
      <formula1>"LIHTC, LIHTC &amp; SLIHC, SLIHC"</formula1>
    </dataValidation>
    <dataValidation allowBlank="1" showErrorMessage="1" promptTitle="30% Credit Rate" prompt="_x000a_" sqref="I292 I193" xr:uid="{27B3986E-B2F1-414E-BE02-290EB1094FA6}"/>
  </dataValidations>
  <pageMargins left="1" right="0.7" top="0.5" bottom="0.25" header="0.3" footer="0.3"/>
  <pageSetup scale="74" fitToHeight="7" orientation="landscape" r:id="rId1"/>
  <rowBreaks count="6" manualBreakCount="6">
    <brk id="35" max="8" man="1"/>
    <brk id="67" max="8" man="1"/>
    <brk id="97" max="8" man="1"/>
    <brk id="147" max="8" man="1"/>
    <brk id="196" max="8" man="1"/>
    <brk id="246" max="8"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6F9E0-F039-4945-9862-E6D6C0B08062}">
  <sheetPr codeName="Sheet10">
    <tabColor rgb="FFFF0000"/>
    <pageSetUpPr fitToPage="1"/>
  </sheetPr>
  <dimension ref="A1:AF87"/>
  <sheetViews>
    <sheetView showRuler="0" zoomScaleNormal="100" workbookViewId="0"/>
  </sheetViews>
  <sheetFormatPr defaultColWidth="8.88671875" defaultRowHeight="15.75" outlineLevelCol="1"/>
  <cols>
    <col min="1" max="1" width="2.44140625" style="8" customWidth="1"/>
    <col min="2" max="3" width="8.88671875" style="8"/>
    <col min="4" max="4" width="12.109375" style="8" customWidth="1"/>
    <col min="5" max="5" width="12.33203125" style="8" customWidth="1"/>
    <col min="6" max="7" width="14.88671875" style="8" customWidth="1"/>
    <col min="8" max="8" width="12.88671875" style="8" customWidth="1"/>
    <col min="9" max="9" width="1.109375" style="8" customWidth="1"/>
    <col min="10" max="10" width="10.6640625" style="8" customWidth="1"/>
    <col min="11" max="11" width="10.6640625" style="703" customWidth="1"/>
    <col min="12" max="12" width="10.6640625" style="8" customWidth="1"/>
    <col min="13" max="21" width="8.88671875" style="8" customWidth="1" outlineLevel="1"/>
    <col min="22" max="22" width="1.5546875" style="8" customWidth="1" outlineLevel="1"/>
    <col min="23" max="23" width="12.88671875" style="8" customWidth="1" outlineLevel="1"/>
    <col min="24" max="25" width="8.88671875" style="8" customWidth="1" outlineLevel="1"/>
    <col min="26" max="26" width="1.6640625" style="8" customWidth="1" outlineLevel="1"/>
    <col min="27" max="31" width="8.88671875" style="8" customWidth="1" outlineLevel="1"/>
    <col min="32" max="32" width="15.88671875" style="8" bestFit="1" customWidth="1"/>
    <col min="33" max="16384" width="8.88671875" style="8"/>
  </cols>
  <sheetData>
    <row r="1" spans="1:32">
      <c r="A1" s="637"/>
      <c r="M1" s="11"/>
      <c r="N1" s="11"/>
      <c r="O1" s="11"/>
      <c r="P1" s="11"/>
      <c r="Q1" s="11"/>
      <c r="R1" s="11"/>
      <c r="S1" s="11"/>
      <c r="T1" s="11"/>
      <c r="U1" s="11"/>
      <c r="V1" s="11"/>
      <c r="W1" s="11"/>
      <c r="X1" s="11"/>
      <c r="Y1" s="11"/>
      <c r="Z1" s="11"/>
      <c r="AA1" s="11"/>
      <c r="AB1" s="11"/>
      <c r="AC1" s="11"/>
      <c r="AD1" s="11"/>
      <c r="AE1" s="11"/>
      <c r="AF1" s="11"/>
    </row>
    <row r="2" spans="1:32">
      <c r="B2" s="222" t="s">
        <v>771</v>
      </c>
      <c r="M2" s="11"/>
      <c r="N2" s="11"/>
      <c r="O2" s="11"/>
      <c r="P2" s="11"/>
      <c r="Q2" s="11"/>
      <c r="R2" s="11"/>
      <c r="S2" s="11"/>
      <c r="T2" s="11"/>
      <c r="U2" s="11"/>
      <c r="V2" s="11"/>
      <c r="W2" s="11"/>
      <c r="X2" s="11"/>
      <c r="Y2" s="11"/>
      <c r="Z2" s="11"/>
      <c r="AA2" s="11"/>
      <c r="AB2" s="11"/>
      <c r="AC2" s="11"/>
      <c r="AD2" s="11"/>
      <c r="AE2" s="11"/>
      <c r="AF2" s="11"/>
    </row>
    <row r="3" spans="1:32" ht="16.5" thickBot="1">
      <c r="M3" s="11"/>
      <c r="N3" s="11"/>
      <c r="O3" s="11"/>
      <c r="P3" s="11"/>
      <c r="Q3" s="11"/>
      <c r="R3" s="11"/>
      <c r="S3" s="11"/>
      <c r="T3" s="11"/>
      <c r="U3" s="11"/>
      <c r="V3" s="11"/>
      <c r="W3" s="11"/>
      <c r="X3" s="11"/>
      <c r="Y3" s="11"/>
      <c r="Z3" s="11"/>
      <c r="AA3" s="11"/>
      <c r="AB3" s="11"/>
      <c r="AC3" s="11"/>
      <c r="AD3" s="11"/>
      <c r="AE3" s="11"/>
      <c r="AF3" s="11"/>
    </row>
    <row r="4" spans="1:32" ht="16.5" thickBot="1">
      <c r="B4" s="124" t="s">
        <v>293</v>
      </c>
      <c r="C4" s="32"/>
      <c r="D4" s="32"/>
      <c r="E4" s="32"/>
      <c r="F4" s="32"/>
      <c r="G4" s="32"/>
      <c r="H4" s="33"/>
      <c r="M4" s="128" t="s">
        <v>770</v>
      </c>
      <c r="N4" s="129"/>
      <c r="O4" s="129"/>
      <c r="P4" s="129"/>
      <c r="Q4" s="129"/>
      <c r="R4" s="129"/>
      <c r="S4" s="129"/>
      <c r="T4" s="129"/>
      <c r="U4" s="130"/>
      <c r="V4" s="11"/>
      <c r="W4" s="131" t="s">
        <v>768</v>
      </c>
      <c r="X4" s="1254">
        <v>43922</v>
      </c>
      <c r="Y4" s="33"/>
      <c r="Z4" s="11"/>
      <c r="AA4" s="131" t="s">
        <v>769</v>
      </c>
      <c r="AB4" s="32"/>
      <c r="AC4" s="1254">
        <v>43931</v>
      </c>
      <c r="AD4" s="32"/>
      <c r="AE4" s="33"/>
      <c r="AF4" s="11"/>
    </row>
    <row r="5" spans="1:32">
      <c r="B5" s="132" t="s">
        <v>295</v>
      </c>
      <c r="C5" s="133" t="s">
        <v>289</v>
      </c>
      <c r="D5" s="133" t="s">
        <v>290</v>
      </c>
      <c r="E5" s="133" t="s">
        <v>300</v>
      </c>
      <c r="F5" s="133" t="s">
        <v>301</v>
      </c>
      <c r="G5" s="133" t="s">
        <v>302</v>
      </c>
      <c r="H5" s="134" t="s">
        <v>294</v>
      </c>
      <c r="M5" s="34"/>
      <c r="N5" s="137">
        <f t="shared" ref="N5:U5" si="0">VLOOKUP(N6,$B$79:$C$86,2,FALSE)</f>
        <v>0.7</v>
      </c>
      <c r="O5" s="137">
        <f t="shared" si="0"/>
        <v>0.79999999999999993</v>
      </c>
      <c r="P5" s="137">
        <f t="shared" si="0"/>
        <v>0.89999999999999991</v>
      </c>
      <c r="Q5" s="137">
        <f t="shared" si="0"/>
        <v>0.99999999999999989</v>
      </c>
      <c r="R5" s="137">
        <f t="shared" si="0"/>
        <v>1.0799999999999998</v>
      </c>
      <c r="S5" s="137">
        <f t="shared" si="0"/>
        <v>1.1599999999999999</v>
      </c>
      <c r="T5" s="137">
        <f t="shared" si="0"/>
        <v>1.24</v>
      </c>
      <c r="U5" s="138">
        <f t="shared" si="0"/>
        <v>1.32</v>
      </c>
      <c r="V5" s="11"/>
      <c r="W5" s="139" t="s">
        <v>281</v>
      </c>
      <c r="X5" s="140" t="s">
        <v>282</v>
      </c>
      <c r="Y5" s="141" t="s">
        <v>283</v>
      </c>
      <c r="Z5" s="11"/>
      <c r="AA5" s="142" t="s">
        <v>62</v>
      </c>
      <c r="AB5" s="143" t="s">
        <v>117</v>
      </c>
      <c r="AC5" s="143" t="s">
        <v>118</v>
      </c>
      <c r="AD5" s="143" t="s">
        <v>119</v>
      </c>
      <c r="AE5" s="144" t="s">
        <v>120</v>
      </c>
      <c r="AF5" s="11"/>
    </row>
    <row r="6" spans="1:32">
      <c r="B6" s="145" t="str">
        <f>+'Units &amp; Income'!A44</f>
        <v>Studio</v>
      </c>
      <c r="C6" s="36">
        <f>+IF(B6="Studio",$C$70,IF(B6="1BR",$C$71,IF(B6="2BR",$C$72, IF(B6="3BR",$C$73,IF(B6="4BR",$C$74,IF(B6="5BR",$C$75,))))))</f>
        <v>1</v>
      </c>
      <c r="D6" s="36">
        <f>IF(B6="Studio",IF($C$63="YES",0.6,0.7),IF(B6="1BR",$D$71,IF(B6="2BR",$D$72,IF(B6="3BR",$D$73,IF(B6="4BR",$D$74,IF(B6="5BR",$D$75,))))))</f>
        <v>0.7</v>
      </c>
      <c r="E6" s="146">
        <f>+F6/$B$61*12</f>
        <v>0</v>
      </c>
      <c r="F6" s="147">
        <f>'Units &amp; Income'!$H44</f>
        <v>0</v>
      </c>
      <c r="G6" s="147">
        <f>'Units &amp; Income'!D44</f>
        <v>0</v>
      </c>
      <c r="H6" s="148" t="e">
        <f>+$E6/$D6/$B$59</f>
        <v>#N/A</v>
      </c>
      <c r="M6" s="149"/>
      <c r="N6" s="150">
        <v>1</v>
      </c>
      <c r="O6" s="150">
        <f t="shared" ref="O6:U6" si="1">N6+1</f>
        <v>2</v>
      </c>
      <c r="P6" s="150">
        <f t="shared" si="1"/>
        <v>3</v>
      </c>
      <c r="Q6" s="150">
        <f t="shared" si="1"/>
        <v>4</v>
      </c>
      <c r="R6" s="150">
        <f t="shared" si="1"/>
        <v>5</v>
      </c>
      <c r="S6" s="150">
        <f t="shared" si="1"/>
        <v>6</v>
      </c>
      <c r="T6" s="150">
        <f t="shared" si="1"/>
        <v>7</v>
      </c>
      <c r="U6" s="151">
        <f t="shared" si="1"/>
        <v>8</v>
      </c>
      <c r="V6" s="11"/>
      <c r="W6" s="152" t="s">
        <v>219</v>
      </c>
      <c r="X6" s="153">
        <f>Y6*2</f>
        <v>97000</v>
      </c>
      <c r="Y6" s="154">
        <v>48500</v>
      </c>
      <c r="Z6" s="11"/>
      <c r="AA6" s="621">
        <v>747</v>
      </c>
      <c r="AB6" s="622">
        <v>855</v>
      </c>
      <c r="AC6" s="622">
        <v>1054</v>
      </c>
      <c r="AD6" s="622">
        <v>1313</v>
      </c>
      <c r="AE6" s="623">
        <v>1428</v>
      </c>
      <c r="AF6" s="72" t="str">
        <f>W6</f>
        <v xml:space="preserve">Albany County </v>
      </c>
    </row>
    <row r="7" spans="1:32">
      <c r="B7" s="145" t="str">
        <f>+'Units &amp; Income'!A45</f>
        <v>1BR</v>
      </c>
      <c r="C7" s="36">
        <f>+IF(B7="Studio",$C$70,IF(B7="1BR",$C$71,IF(B7="2BR",$C$72, IF(B7="3BR",$C$73,IF(B7="4BR",$C$74,IF(B7="5BR",$C$75,))))))</f>
        <v>1.5</v>
      </c>
      <c r="D7" s="36">
        <f>IF(B7="Studio",IF($C$63="YES",0.6,0.7),IF(B7="1BR",$D$71,IF(B7="2BR",$D$72,IF(B7="3BR",$D$73,IF(B7="4BR",$D$74,IF(B7="5BR",$D$75,))))))</f>
        <v>0.75</v>
      </c>
      <c r="E7" s="146">
        <f>+F7/$B$61*12</f>
        <v>0</v>
      </c>
      <c r="F7" s="147">
        <f>'Units &amp; Income'!$H45</f>
        <v>0</v>
      </c>
      <c r="G7" s="147">
        <f>'Units &amp; Income'!D45</f>
        <v>0</v>
      </c>
      <c r="H7" s="148" t="e">
        <f>+$E7/$D7/$B$59</f>
        <v>#N/A</v>
      </c>
      <c r="M7" s="155">
        <v>0.1</v>
      </c>
      <c r="N7" s="38" t="e">
        <f t="shared" ref="N7:U16" si="2">IF($M7=50%,CEILING(MROUND(MROUND($B$59*50%,50)*$M7/50%,50)*N$5,50),CEILING(MROUND($B$59*50%,50)*N$5,50)*$M7/50%)</f>
        <v>#N/A</v>
      </c>
      <c r="O7" s="38" t="e">
        <f t="shared" si="2"/>
        <v>#N/A</v>
      </c>
      <c r="P7" s="38" t="e">
        <f t="shared" si="2"/>
        <v>#N/A</v>
      </c>
      <c r="Q7" s="38" t="e">
        <f t="shared" si="2"/>
        <v>#N/A</v>
      </c>
      <c r="R7" s="38" t="e">
        <f t="shared" si="2"/>
        <v>#N/A</v>
      </c>
      <c r="S7" s="38" t="e">
        <f t="shared" si="2"/>
        <v>#N/A</v>
      </c>
      <c r="T7" s="38" t="e">
        <f t="shared" si="2"/>
        <v>#N/A</v>
      </c>
      <c r="U7" s="156" t="e">
        <f t="shared" si="2"/>
        <v>#N/A</v>
      </c>
      <c r="V7" s="11"/>
      <c r="W7" s="155" t="s">
        <v>220</v>
      </c>
      <c r="X7" s="38">
        <f t="shared" ref="X7:X67" si="3">Y7*2</f>
        <v>67200</v>
      </c>
      <c r="Y7" s="156">
        <v>33600</v>
      </c>
      <c r="Z7" s="11"/>
      <c r="AA7" s="624">
        <v>541</v>
      </c>
      <c r="AB7" s="625">
        <v>583</v>
      </c>
      <c r="AC7" s="625">
        <v>714</v>
      </c>
      <c r="AD7" s="625">
        <v>923</v>
      </c>
      <c r="AE7" s="626">
        <v>1099</v>
      </c>
      <c r="AF7" s="72" t="str">
        <f t="shared" ref="AF7:AF67" si="4">W7</f>
        <v xml:space="preserve">Allegany County </v>
      </c>
    </row>
    <row r="8" spans="1:32">
      <c r="B8" s="145" t="str">
        <f>+'Units &amp; Income'!A46</f>
        <v>2BR</v>
      </c>
      <c r="C8" s="36">
        <f>+IF(B8="Studio",$C$70,IF(B8="1BR",$C$71,IF(B8="2BR",$C$72, IF(B8="3BR",$C$73,IF(B8="4BR",$C$74,IF(B8="5BR",$C$75,))))))</f>
        <v>3</v>
      </c>
      <c r="D8" s="36">
        <f>IF(B8="Studio",IF($C$63="YES",0.6,0.7),IF(B8="1BR",$D$71,IF(B8="2BR",$D$72,IF(B8="3BR",$D$73,IF(B8="4BR",$D$74,IF(B8="5BR",$D$75,))))))</f>
        <v>0.9</v>
      </c>
      <c r="E8" s="146">
        <f>+F8/$B$61*12</f>
        <v>0</v>
      </c>
      <c r="F8" s="147">
        <f>'Units &amp; Income'!$H46</f>
        <v>0</v>
      </c>
      <c r="G8" s="147">
        <f>'Units &amp; Income'!D46</f>
        <v>0</v>
      </c>
      <c r="H8" s="148" t="e">
        <f>+$E8/$D8/$B$59</f>
        <v>#N/A</v>
      </c>
      <c r="M8" s="152">
        <f>+M7+10%</f>
        <v>0.2</v>
      </c>
      <c r="N8" s="153" t="e">
        <f t="shared" si="2"/>
        <v>#N/A</v>
      </c>
      <c r="O8" s="153" t="e">
        <f t="shared" si="2"/>
        <v>#N/A</v>
      </c>
      <c r="P8" s="153" t="e">
        <f t="shared" si="2"/>
        <v>#N/A</v>
      </c>
      <c r="Q8" s="153" t="e">
        <f t="shared" si="2"/>
        <v>#N/A</v>
      </c>
      <c r="R8" s="153" t="e">
        <f t="shared" si="2"/>
        <v>#N/A</v>
      </c>
      <c r="S8" s="153" t="e">
        <f t="shared" si="2"/>
        <v>#N/A</v>
      </c>
      <c r="T8" s="153" t="e">
        <f t="shared" si="2"/>
        <v>#N/A</v>
      </c>
      <c r="U8" s="154" t="e">
        <f t="shared" si="2"/>
        <v>#N/A</v>
      </c>
      <c r="V8" s="11"/>
      <c r="W8" s="152" t="s">
        <v>221</v>
      </c>
      <c r="X8" s="153">
        <f t="shared" si="3"/>
        <v>113700</v>
      </c>
      <c r="Y8" s="154">
        <v>56850</v>
      </c>
      <c r="Z8" s="11"/>
      <c r="AA8" s="621">
        <v>1665</v>
      </c>
      <c r="AB8" s="622">
        <v>1714</v>
      </c>
      <c r="AC8" s="622">
        <v>1951</v>
      </c>
      <c r="AD8" s="622">
        <v>2472</v>
      </c>
      <c r="AE8" s="623">
        <v>2643</v>
      </c>
      <c r="AF8" s="72" t="str">
        <f t="shared" si="4"/>
        <v xml:space="preserve">Bronx County </v>
      </c>
    </row>
    <row r="9" spans="1:32">
      <c r="B9" s="145" t="str">
        <f>+'Units &amp; Income'!A47</f>
        <v>3BR</v>
      </c>
      <c r="C9" s="36">
        <f>+IF(B9="Studio",$C$70,IF(B9="1BR",$C$71,IF(B9="2BR",$C$72, IF(B9="3BR",$C$73,IF(B9="4BR",$C$74,IF(B9="5BR",$C$75,))))))</f>
        <v>4.5</v>
      </c>
      <c r="D9" s="36">
        <f>IF(B9="Studio",IF($C$63="YES",0.6,0.7),IF(B9="1BR",$D$71,IF(B9="2BR",$D$72,IF(B9="3BR",$D$73,IF(B9="4BR",$D$74,IF(B9="5BR",$D$75,))))))</f>
        <v>1.04</v>
      </c>
      <c r="E9" s="146">
        <f>+F9/$B$61*12</f>
        <v>0</v>
      </c>
      <c r="F9" s="147">
        <f>'Units &amp; Income'!$H47</f>
        <v>0</v>
      </c>
      <c r="G9" s="147">
        <f>'Units &amp; Income'!D47</f>
        <v>0</v>
      </c>
      <c r="H9" s="148" t="e">
        <f>+$E9/$D9/$B$59</f>
        <v>#N/A</v>
      </c>
      <c r="M9" s="155">
        <f t="shared" ref="M9:M31" si="5">+M8+10%</f>
        <v>0.30000000000000004</v>
      </c>
      <c r="N9" s="38" t="e">
        <f t="shared" si="2"/>
        <v>#N/A</v>
      </c>
      <c r="O9" s="38" t="e">
        <f t="shared" si="2"/>
        <v>#N/A</v>
      </c>
      <c r="P9" s="38" t="e">
        <f t="shared" si="2"/>
        <v>#N/A</v>
      </c>
      <c r="Q9" s="38" t="e">
        <f t="shared" si="2"/>
        <v>#N/A</v>
      </c>
      <c r="R9" s="38" t="e">
        <f t="shared" si="2"/>
        <v>#N/A</v>
      </c>
      <c r="S9" s="38" t="e">
        <f t="shared" si="2"/>
        <v>#N/A</v>
      </c>
      <c r="T9" s="38" t="e">
        <f t="shared" si="2"/>
        <v>#N/A</v>
      </c>
      <c r="U9" s="156" t="e">
        <f t="shared" si="2"/>
        <v>#N/A</v>
      </c>
      <c r="V9" s="11"/>
      <c r="W9" s="155" t="s">
        <v>222</v>
      </c>
      <c r="X9" s="38">
        <f t="shared" si="3"/>
        <v>76100</v>
      </c>
      <c r="Y9" s="156">
        <v>38050</v>
      </c>
      <c r="Z9" s="11"/>
      <c r="AA9" s="624">
        <v>606</v>
      </c>
      <c r="AB9" s="625">
        <v>634</v>
      </c>
      <c r="AC9" s="625">
        <v>820</v>
      </c>
      <c r="AD9" s="625">
        <v>1070</v>
      </c>
      <c r="AE9" s="626">
        <v>1224</v>
      </c>
      <c r="AF9" s="72" t="str">
        <f t="shared" si="4"/>
        <v xml:space="preserve">Broome County </v>
      </c>
    </row>
    <row r="10" spans="1:32">
      <c r="B10" s="158" t="str">
        <f>+'Units &amp; Income'!A48</f>
        <v>4BR</v>
      </c>
      <c r="C10" s="159">
        <f>+IF(B10="Studio",$C$70,IF(B10="1BR",$C$71,IF(B10="2BR",$C$72, IF(B10="3BR",$C$73,IF(B10="4BR",$C$74,IF(B10="5BR",$C$75,))))))</f>
        <v>6</v>
      </c>
      <c r="D10" s="159">
        <f>IF(B10="Studio",IF($C$63="YES",0.6,0.7),IF(B10="1BR",$D$71,IF(B10="2BR",$D$72,IF(B10="3BR",$D$73,IF(B10="4BR",$D$74,IF(B10="5BR",$D$75,))))))</f>
        <v>1.1599999999999999</v>
      </c>
      <c r="E10" s="160">
        <f>+F10/$B$61*12</f>
        <v>0</v>
      </c>
      <c r="F10" s="147">
        <f>'Units &amp; Income'!$H48</f>
        <v>0</v>
      </c>
      <c r="G10" s="161">
        <f>'Units &amp; Income'!D48</f>
        <v>0</v>
      </c>
      <c r="H10" s="162" t="e">
        <f>+$E10/$D10/$B$59</f>
        <v>#N/A</v>
      </c>
      <c r="M10" s="152">
        <f t="shared" si="5"/>
        <v>0.4</v>
      </c>
      <c r="N10" s="153" t="e">
        <f t="shared" si="2"/>
        <v>#N/A</v>
      </c>
      <c r="O10" s="153" t="e">
        <f t="shared" si="2"/>
        <v>#N/A</v>
      </c>
      <c r="P10" s="153" t="e">
        <f t="shared" si="2"/>
        <v>#N/A</v>
      </c>
      <c r="Q10" s="153" t="e">
        <f t="shared" si="2"/>
        <v>#N/A</v>
      </c>
      <c r="R10" s="153" t="e">
        <f t="shared" si="2"/>
        <v>#N/A</v>
      </c>
      <c r="S10" s="153" t="e">
        <f t="shared" si="2"/>
        <v>#N/A</v>
      </c>
      <c r="T10" s="153" t="e">
        <f t="shared" si="2"/>
        <v>#N/A</v>
      </c>
      <c r="U10" s="154" t="e">
        <f t="shared" si="2"/>
        <v>#N/A</v>
      </c>
      <c r="V10" s="11"/>
      <c r="W10" s="152" t="s">
        <v>223</v>
      </c>
      <c r="X10" s="153">
        <f t="shared" si="3"/>
        <v>67200</v>
      </c>
      <c r="Y10" s="154">
        <v>33600</v>
      </c>
      <c r="Z10" s="11"/>
      <c r="AA10" s="621">
        <v>585</v>
      </c>
      <c r="AB10" s="622">
        <v>585</v>
      </c>
      <c r="AC10" s="622">
        <v>716</v>
      </c>
      <c r="AD10" s="622">
        <v>993</v>
      </c>
      <c r="AE10" s="623">
        <v>1101</v>
      </c>
      <c r="AF10" s="72" t="str">
        <f t="shared" si="4"/>
        <v xml:space="preserve">Cattaraugus County </v>
      </c>
    </row>
    <row r="11" spans="1:32">
      <c r="B11" s="34" t="s">
        <v>297</v>
      </c>
      <c r="C11" s="36"/>
      <c r="D11" s="36"/>
      <c r="E11" s="146"/>
      <c r="F11" s="307"/>
      <c r="G11" s="146"/>
      <c r="H11" s="37"/>
      <c r="M11" s="155">
        <f t="shared" si="5"/>
        <v>0.5</v>
      </c>
      <c r="N11" s="38" t="e">
        <f t="shared" si="2"/>
        <v>#N/A</v>
      </c>
      <c r="O11" s="38" t="e">
        <f t="shared" si="2"/>
        <v>#N/A</v>
      </c>
      <c r="P11" s="38" t="e">
        <f t="shared" si="2"/>
        <v>#N/A</v>
      </c>
      <c r="Q11" s="38" t="e">
        <f t="shared" si="2"/>
        <v>#N/A</v>
      </c>
      <c r="R11" s="38" t="e">
        <f t="shared" si="2"/>
        <v>#N/A</v>
      </c>
      <c r="S11" s="38" t="e">
        <f t="shared" si="2"/>
        <v>#N/A</v>
      </c>
      <c r="T11" s="38" t="e">
        <f t="shared" si="2"/>
        <v>#N/A</v>
      </c>
      <c r="U11" s="156" t="e">
        <f t="shared" si="2"/>
        <v>#N/A</v>
      </c>
      <c r="V11" s="11"/>
      <c r="W11" s="155" t="s">
        <v>224</v>
      </c>
      <c r="X11" s="38">
        <f>Y11*2</f>
        <v>71100</v>
      </c>
      <c r="Y11" s="156">
        <v>35550</v>
      </c>
      <c r="Z11" s="11"/>
      <c r="AA11" s="624">
        <v>603</v>
      </c>
      <c r="AB11" s="625">
        <v>657</v>
      </c>
      <c r="AC11" s="625">
        <v>817</v>
      </c>
      <c r="AD11" s="625">
        <v>1032</v>
      </c>
      <c r="AE11" s="626">
        <v>1127</v>
      </c>
      <c r="AF11" s="72" t="str">
        <f t="shared" si="4"/>
        <v xml:space="preserve">Cayuga County </v>
      </c>
    </row>
    <row r="12" spans="1:32">
      <c r="B12" s="163" t="str">
        <f>+'Units &amp; Income'!A50</f>
        <v>Studio</v>
      </c>
      <c r="C12" s="164">
        <f>+IF(B12="Studio",$C$70,IF(B12="1BR",$C$71,IF(B12="2BR",$C$72, IF(B12="3BR",$C$73,IF(B12="4BR",$C$74,IF(B12="5BR",$C$75,))))))</f>
        <v>1</v>
      </c>
      <c r="D12" s="164">
        <f>IF(B12="Studio",IF($C$63="YES",0.6,0.7),IF(B12="1BR",$D$71,IF(B12="2BR",$D$72,IF(B12="3BR",$D$73,IF(B12="4BR",$D$74,IF(B12="5BR",$D$75,))))))</f>
        <v>0.7</v>
      </c>
      <c r="E12" s="165">
        <f>+F12/$B$61*12</f>
        <v>0</v>
      </c>
      <c r="F12" s="147">
        <f>'Units &amp; Income'!$H50</f>
        <v>0</v>
      </c>
      <c r="G12" s="166">
        <f>'Units &amp; Income'!D50</f>
        <v>0</v>
      </c>
      <c r="H12" s="167" t="e">
        <f>+$E12/$D12/$B$59</f>
        <v>#N/A</v>
      </c>
      <c r="M12" s="152">
        <f t="shared" si="5"/>
        <v>0.6</v>
      </c>
      <c r="N12" s="153" t="e">
        <f t="shared" si="2"/>
        <v>#N/A</v>
      </c>
      <c r="O12" s="153" t="e">
        <f t="shared" si="2"/>
        <v>#N/A</v>
      </c>
      <c r="P12" s="153" t="e">
        <f t="shared" si="2"/>
        <v>#N/A</v>
      </c>
      <c r="Q12" s="153" t="e">
        <f t="shared" si="2"/>
        <v>#N/A</v>
      </c>
      <c r="R12" s="153" t="e">
        <f t="shared" si="2"/>
        <v>#N/A</v>
      </c>
      <c r="S12" s="153" t="e">
        <f t="shared" si="2"/>
        <v>#N/A</v>
      </c>
      <c r="T12" s="153" t="e">
        <f t="shared" si="2"/>
        <v>#N/A</v>
      </c>
      <c r="U12" s="154" t="e">
        <f t="shared" si="2"/>
        <v>#N/A</v>
      </c>
      <c r="V12" s="11"/>
      <c r="W12" s="152" t="s">
        <v>225</v>
      </c>
      <c r="X12" s="153">
        <f t="shared" si="3"/>
        <v>67200</v>
      </c>
      <c r="Y12" s="154">
        <v>33600</v>
      </c>
      <c r="Z12" s="11"/>
      <c r="AA12" s="621">
        <v>540</v>
      </c>
      <c r="AB12" s="622">
        <v>594</v>
      </c>
      <c r="AC12" s="622">
        <v>725</v>
      </c>
      <c r="AD12" s="622">
        <v>935</v>
      </c>
      <c r="AE12" s="623">
        <v>1063</v>
      </c>
      <c r="AF12" s="72" t="str">
        <f t="shared" si="4"/>
        <v xml:space="preserve">Chautauqua County </v>
      </c>
    </row>
    <row r="13" spans="1:32">
      <c r="B13" s="145" t="str">
        <f>+'Units &amp; Income'!A51</f>
        <v>1BR</v>
      </c>
      <c r="C13" s="36">
        <f>+IF(B13="Studio",$C$70,IF(B13="1BR",$C$71,IF(B13="2BR",$C$72, IF(B13="3BR",$C$73,IF(B13="4BR",$C$74,IF(B13="5BR",$C$75,))))))</f>
        <v>1.5</v>
      </c>
      <c r="D13" s="36">
        <f>IF(B13="Studio",IF($C$63="YES",0.6,0.7),IF(B13="1BR",$D$71,IF(B13="2BR",$D$72,IF(B13="3BR",$D$73,IF(B13="4BR",$D$74,IF(B13="5BR",$D$75,))))))</f>
        <v>0.75</v>
      </c>
      <c r="E13" s="146">
        <f>+F13/$B$61*12</f>
        <v>0</v>
      </c>
      <c r="F13" s="147">
        <f>'Units &amp; Income'!$H51</f>
        <v>0</v>
      </c>
      <c r="G13" s="147">
        <f>'Units &amp; Income'!D51</f>
        <v>0</v>
      </c>
      <c r="H13" s="148" t="e">
        <f>+$E13/$D13/$B$59</f>
        <v>#N/A</v>
      </c>
      <c r="M13" s="155">
        <f t="shared" si="5"/>
        <v>0.7</v>
      </c>
      <c r="N13" s="38" t="e">
        <f t="shared" si="2"/>
        <v>#N/A</v>
      </c>
      <c r="O13" s="38" t="e">
        <f t="shared" si="2"/>
        <v>#N/A</v>
      </c>
      <c r="P13" s="38" t="e">
        <f t="shared" si="2"/>
        <v>#N/A</v>
      </c>
      <c r="Q13" s="38" t="e">
        <f t="shared" si="2"/>
        <v>#N/A</v>
      </c>
      <c r="R13" s="38" t="e">
        <f t="shared" si="2"/>
        <v>#N/A</v>
      </c>
      <c r="S13" s="38" t="e">
        <f t="shared" si="2"/>
        <v>#N/A</v>
      </c>
      <c r="T13" s="38" t="e">
        <f t="shared" si="2"/>
        <v>#N/A</v>
      </c>
      <c r="U13" s="156" t="e">
        <f t="shared" si="2"/>
        <v>#N/A</v>
      </c>
      <c r="V13" s="11"/>
      <c r="W13" s="155" t="s">
        <v>226</v>
      </c>
      <c r="X13" s="38">
        <f t="shared" si="3"/>
        <v>73600</v>
      </c>
      <c r="Y13" s="156">
        <v>36800</v>
      </c>
      <c r="Z13" s="11"/>
      <c r="AA13" s="624">
        <v>647</v>
      </c>
      <c r="AB13" s="625">
        <v>671</v>
      </c>
      <c r="AC13" s="625">
        <v>839</v>
      </c>
      <c r="AD13" s="625">
        <v>1108</v>
      </c>
      <c r="AE13" s="626">
        <v>1146</v>
      </c>
      <c r="AF13" s="72" t="str">
        <f t="shared" si="4"/>
        <v xml:space="preserve">Chemung County </v>
      </c>
    </row>
    <row r="14" spans="1:32">
      <c r="B14" s="145" t="str">
        <f>+'Units &amp; Income'!A52</f>
        <v>2BR</v>
      </c>
      <c r="C14" s="36">
        <f>+IF(B14="Studio",$C$70,IF(B14="1BR",$C$71,IF(B14="2BR",$C$72, IF(B14="3BR",$C$73,IF(B14="4BR",$C$74,IF(B14="5BR",$C$75,))))))</f>
        <v>3</v>
      </c>
      <c r="D14" s="36">
        <f>IF(B14="Studio",IF($C$63="YES",0.6,0.7),IF(B14="1BR",$D$71,IF(B14="2BR",$D$72,IF(B14="3BR",$D$73,IF(B14="4BR",$D$74,IF(B14="5BR",$D$75,))))))</f>
        <v>0.9</v>
      </c>
      <c r="E14" s="146">
        <f>+F14/$B$61*12</f>
        <v>0</v>
      </c>
      <c r="F14" s="147">
        <f>'Units &amp; Income'!$H52</f>
        <v>0</v>
      </c>
      <c r="G14" s="147">
        <f>'Units &amp; Income'!D52</f>
        <v>0</v>
      </c>
      <c r="H14" s="148" t="e">
        <f>+$E14/$D14/$B$59</f>
        <v>#N/A</v>
      </c>
      <c r="M14" s="152">
        <f t="shared" si="5"/>
        <v>0.79999999999999993</v>
      </c>
      <c r="N14" s="153" t="e">
        <f t="shared" si="2"/>
        <v>#N/A</v>
      </c>
      <c r="O14" s="153" t="e">
        <f t="shared" si="2"/>
        <v>#N/A</v>
      </c>
      <c r="P14" s="153" t="e">
        <f t="shared" si="2"/>
        <v>#N/A</v>
      </c>
      <c r="Q14" s="153" t="e">
        <f t="shared" si="2"/>
        <v>#N/A</v>
      </c>
      <c r="R14" s="153" t="e">
        <f t="shared" si="2"/>
        <v>#N/A</v>
      </c>
      <c r="S14" s="153" t="e">
        <f t="shared" si="2"/>
        <v>#N/A</v>
      </c>
      <c r="T14" s="153" t="e">
        <f t="shared" si="2"/>
        <v>#N/A</v>
      </c>
      <c r="U14" s="154" t="e">
        <f t="shared" si="2"/>
        <v>#N/A</v>
      </c>
      <c r="V14" s="11"/>
      <c r="W14" s="152" t="s">
        <v>227</v>
      </c>
      <c r="X14" s="153">
        <f t="shared" si="3"/>
        <v>67200</v>
      </c>
      <c r="Y14" s="154">
        <v>33600</v>
      </c>
      <c r="Z14" s="11"/>
      <c r="AA14" s="621">
        <v>546</v>
      </c>
      <c r="AB14" s="622">
        <v>629</v>
      </c>
      <c r="AC14" s="622">
        <v>780</v>
      </c>
      <c r="AD14" s="622">
        <v>978</v>
      </c>
      <c r="AE14" s="623">
        <v>1057</v>
      </c>
      <c r="AF14" s="72" t="str">
        <f t="shared" si="4"/>
        <v xml:space="preserve">Chenango County </v>
      </c>
    </row>
    <row r="15" spans="1:32">
      <c r="B15" s="145" t="str">
        <f>+'Units &amp; Income'!A53</f>
        <v>3BR</v>
      </c>
      <c r="C15" s="36">
        <f>+IF(B15="Studio",$C$70,IF(B15="1BR",$C$71,IF(B15="2BR",$C$72, IF(B15="3BR",$C$73,IF(B15="4BR",$C$74,IF(B15="5BR",$C$75,))))))</f>
        <v>4.5</v>
      </c>
      <c r="D15" s="36">
        <f>IF(B15="Studio",IF($C$63="YES",0.6,0.7),IF(B15="1BR",$D$71,IF(B15="2BR",$D$72,IF(B15="3BR",$D$73,IF(B15="4BR",$D$74,IF(B15="5BR",$D$75,))))))</f>
        <v>1.04</v>
      </c>
      <c r="E15" s="146">
        <f>+F15/$B$61*12</f>
        <v>0</v>
      </c>
      <c r="F15" s="147">
        <f>'Units &amp; Income'!$H53</f>
        <v>0</v>
      </c>
      <c r="G15" s="147">
        <f>'Units &amp; Income'!D53</f>
        <v>0</v>
      </c>
      <c r="H15" s="148" t="e">
        <f>+$E15/$D15/$B$59</f>
        <v>#N/A</v>
      </c>
      <c r="M15" s="155">
        <f t="shared" si="5"/>
        <v>0.89999999999999991</v>
      </c>
      <c r="N15" s="38" t="e">
        <f t="shared" si="2"/>
        <v>#N/A</v>
      </c>
      <c r="O15" s="38" t="e">
        <f t="shared" si="2"/>
        <v>#N/A</v>
      </c>
      <c r="P15" s="38" t="e">
        <f t="shared" si="2"/>
        <v>#N/A</v>
      </c>
      <c r="Q15" s="38" t="e">
        <f t="shared" si="2"/>
        <v>#N/A</v>
      </c>
      <c r="R15" s="38" t="e">
        <f t="shared" si="2"/>
        <v>#N/A</v>
      </c>
      <c r="S15" s="38" t="e">
        <f t="shared" si="2"/>
        <v>#N/A</v>
      </c>
      <c r="T15" s="38" t="e">
        <f t="shared" si="2"/>
        <v>#N/A</v>
      </c>
      <c r="U15" s="156" t="e">
        <f t="shared" si="2"/>
        <v>#N/A</v>
      </c>
      <c r="V15" s="11"/>
      <c r="W15" s="155" t="s">
        <v>228</v>
      </c>
      <c r="X15" s="38">
        <f t="shared" si="3"/>
        <v>73700</v>
      </c>
      <c r="Y15" s="156">
        <v>36850</v>
      </c>
      <c r="Z15" s="11"/>
      <c r="AA15" s="624">
        <v>636</v>
      </c>
      <c r="AB15" s="625">
        <v>671</v>
      </c>
      <c r="AC15" s="625">
        <v>842</v>
      </c>
      <c r="AD15" s="625">
        <v>1092</v>
      </c>
      <c r="AE15" s="626">
        <v>1168</v>
      </c>
      <c r="AF15" s="72" t="str">
        <f t="shared" si="4"/>
        <v xml:space="preserve">Clinton County </v>
      </c>
    </row>
    <row r="16" spans="1:32">
      <c r="B16" s="158" t="str">
        <f>+'Units &amp; Income'!A54</f>
        <v>4BR</v>
      </c>
      <c r="C16" s="159">
        <f>+IF(B16="Studio",$C$70,IF(B16="1BR",$C$71,IF(B16="2BR",$C$72, IF(B16="3BR",$C$73,IF(B16="4BR",$C$74,IF(B16="5BR",$C$75,))))))</f>
        <v>6</v>
      </c>
      <c r="D16" s="159">
        <f>IF(B16="Studio",IF($C$63="YES",0.6,0.7),IF(B16="1BR",$D$71,IF(B16="2BR",$D$72,IF(B16="3BR",$D$73,IF(B16="4BR",$D$74,IF(B16="5BR",$D$75,))))))</f>
        <v>1.1599999999999999</v>
      </c>
      <c r="E16" s="160">
        <f>+F16/$B$61*12</f>
        <v>0</v>
      </c>
      <c r="F16" s="147">
        <f>'Units &amp; Income'!$H54</f>
        <v>0</v>
      </c>
      <c r="G16" s="161">
        <f>'Units &amp; Income'!D54</f>
        <v>0</v>
      </c>
      <c r="H16" s="162" t="e">
        <f>+$E16/$D16/$B$59</f>
        <v>#N/A</v>
      </c>
      <c r="M16" s="152">
        <f t="shared" si="5"/>
        <v>0.99999999999999989</v>
      </c>
      <c r="N16" s="153" t="e">
        <f t="shared" si="2"/>
        <v>#N/A</v>
      </c>
      <c r="O16" s="153" t="e">
        <f t="shared" si="2"/>
        <v>#N/A</v>
      </c>
      <c r="P16" s="153" t="e">
        <f t="shared" si="2"/>
        <v>#N/A</v>
      </c>
      <c r="Q16" s="153" t="e">
        <f t="shared" si="2"/>
        <v>#N/A</v>
      </c>
      <c r="R16" s="153" t="e">
        <f t="shared" si="2"/>
        <v>#N/A</v>
      </c>
      <c r="S16" s="153" t="e">
        <f t="shared" si="2"/>
        <v>#N/A</v>
      </c>
      <c r="T16" s="153" t="e">
        <f t="shared" si="2"/>
        <v>#N/A</v>
      </c>
      <c r="U16" s="154" t="e">
        <f t="shared" si="2"/>
        <v>#N/A</v>
      </c>
      <c r="V16" s="11"/>
      <c r="W16" s="152" t="s">
        <v>229</v>
      </c>
      <c r="X16" s="153">
        <f t="shared" si="3"/>
        <v>81300</v>
      </c>
      <c r="Y16" s="154">
        <v>40650</v>
      </c>
      <c r="Z16" s="11"/>
      <c r="AA16" s="621">
        <v>704</v>
      </c>
      <c r="AB16" s="622">
        <v>786</v>
      </c>
      <c r="AC16" s="622">
        <v>965</v>
      </c>
      <c r="AD16" s="622">
        <v>1299</v>
      </c>
      <c r="AE16" s="623">
        <v>1333</v>
      </c>
      <c r="AF16" s="72" t="str">
        <f t="shared" si="4"/>
        <v xml:space="preserve">Columbia County </v>
      </c>
    </row>
    <row r="17" spans="2:32">
      <c r="B17" s="34" t="s">
        <v>296</v>
      </c>
      <c r="C17" s="36"/>
      <c r="D17" s="36"/>
      <c r="E17" s="146"/>
      <c r="F17" s="307"/>
      <c r="G17" s="146"/>
      <c r="H17" s="37"/>
      <c r="M17" s="155">
        <f t="shared" si="5"/>
        <v>1.0999999999999999</v>
      </c>
      <c r="N17" s="38" t="e">
        <f t="shared" ref="N17:U31" si="6">IF($M17=50%,CEILING(MROUND(MROUND($B$59*50%,50)*$M17/50%,50)*N$5,50),CEILING(MROUND($B$59*50%,50)*N$5,50)*$M17/50%)</f>
        <v>#N/A</v>
      </c>
      <c r="O17" s="38" t="e">
        <f t="shared" si="6"/>
        <v>#N/A</v>
      </c>
      <c r="P17" s="38" t="e">
        <f t="shared" si="6"/>
        <v>#N/A</v>
      </c>
      <c r="Q17" s="38" t="e">
        <f t="shared" si="6"/>
        <v>#N/A</v>
      </c>
      <c r="R17" s="38" t="e">
        <f t="shared" si="6"/>
        <v>#N/A</v>
      </c>
      <c r="S17" s="38" t="e">
        <f t="shared" si="6"/>
        <v>#N/A</v>
      </c>
      <c r="T17" s="38" t="e">
        <f t="shared" si="6"/>
        <v>#N/A</v>
      </c>
      <c r="U17" s="156" t="e">
        <f t="shared" si="6"/>
        <v>#N/A</v>
      </c>
      <c r="V17" s="11"/>
      <c r="W17" s="155" t="s">
        <v>230</v>
      </c>
      <c r="X17" s="38">
        <f t="shared" si="3"/>
        <v>72300</v>
      </c>
      <c r="Y17" s="156">
        <v>36150</v>
      </c>
      <c r="Z17" s="11"/>
      <c r="AA17" s="624">
        <v>666</v>
      </c>
      <c r="AB17" s="625">
        <v>717</v>
      </c>
      <c r="AC17" s="625">
        <v>849</v>
      </c>
      <c r="AD17" s="625">
        <v>1070</v>
      </c>
      <c r="AE17" s="626">
        <v>1199</v>
      </c>
      <c r="AF17" s="72" t="str">
        <f t="shared" si="4"/>
        <v xml:space="preserve">Cortland County </v>
      </c>
    </row>
    <row r="18" spans="2:32">
      <c r="B18" s="163" t="str">
        <f>+'Units &amp; Income'!A56</f>
        <v>Studio</v>
      </c>
      <c r="C18" s="164">
        <f>+IF(B18="Studio",$C$70,IF(B18="1BR",$C$71,IF(B18="2BR",$C$72, IF(B18="3BR",$C$73,IF(B18="4BR",$C$74,IF(B18="5BR",$C$75,))))))</f>
        <v>1</v>
      </c>
      <c r="D18" s="164">
        <f>IF(B18="Studio",IF($C$63="YES",0.6,0.7),IF(B18="1BR",$D$71,IF(B18="2BR",$D$72,IF(B18="3BR",$D$73,IF(B18="4BR",$D$74,IF(B18="5BR",$D$75,))))))</f>
        <v>0.7</v>
      </c>
      <c r="E18" s="165">
        <f>+F18/$B$61*12</f>
        <v>0</v>
      </c>
      <c r="F18" s="147">
        <f>'Units &amp; Income'!$H56</f>
        <v>0</v>
      </c>
      <c r="G18" s="166">
        <f>'Units &amp; Income'!D56</f>
        <v>0</v>
      </c>
      <c r="H18" s="167" t="e">
        <f>+$E18/$D18/$B$59</f>
        <v>#N/A</v>
      </c>
      <c r="M18" s="152">
        <f t="shared" si="5"/>
        <v>1.2</v>
      </c>
      <c r="N18" s="153" t="e">
        <f t="shared" si="6"/>
        <v>#N/A</v>
      </c>
      <c r="O18" s="153" t="e">
        <f t="shared" si="6"/>
        <v>#N/A</v>
      </c>
      <c r="P18" s="153" t="e">
        <f t="shared" si="6"/>
        <v>#N/A</v>
      </c>
      <c r="Q18" s="153" t="e">
        <f t="shared" si="6"/>
        <v>#N/A</v>
      </c>
      <c r="R18" s="153" t="e">
        <f t="shared" si="6"/>
        <v>#N/A</v>
      </c>
      <c r="S18" s="153" t="e">
        <f t="shared" si="6"/>
        <v>#N/A</v>
      </c>
      <c r="T18" s="153" t="e">
        <f t="shared" si="6"/>
        <v>#N/A</v>
      </c>
      <c r="U18" s="154" t="e">
        <f t="shared" si="6"/>
        <v>#N/A</v>
      </c>
      <c r="V18" s="11"/>
      <c r="W18" s="152" t="s">
        <v>231</v>
      </c>
      <c r="X18" s="153">
        <f t="shared" si="3"/>
        <v>67200</v>
      </c>
      <c r="Y18" s="154">
        <v>33600</v>
      </c>
      <c r="Z18" s="11"/>
      <c r="AA18" s="621">
        <v>628</v>
      </c>
      <c r="AB18" s="622">
        <v>632</v>
      </c>
      <c r="AC18" s="622">
        <v>772</v>
      </c>
      <c r="AD18" s="622">
        <v>1036</v>
      </c>
      <c r="AE18" s="623">
        <v>1046</v>
      </c>
      <c r="AF18" s="72" t="str">
        <f t="shared" si="4"/>
        <v xml:space="preserve">Delaware County </v>
      </c>
    </row>
    <row r="19" spans="2:32">
      <c r="B19" s="145" t="str">
        <f>+'Units &amp; Income'!A57</f>
        <v>1BR</v>
      </c>
      <c r="C19" s="36">
        <f>+IF(B19="Studio",$C$70,IF(B19="1BR",$C$71,IF(B19="2BR",$C$72, IF(B19="3BR",$C$73,IF(B19="4BR",$C$74,IF(B19="5BR",$C$75,))))))</f>
        <v>1.5</v>
      </c>
      <c r="D19" s="36">
        <f>IF(B19="Studio",IF($C$63="YES",0.6,0.7),IF(B19="1BR",$D$71,IF(B19="2BR",$D$72,IF(B19="3BR",$D$73,IF(B19="4BR",$D$74,IF(B19="5BR",$D$75,))))))</f>
        <v>0.75</v>
      </c>
      <c r="E19" s="146">
        <f>+F19/$B$61*12</f>
        <v>0</v>
      </c>
      <c r="F19" s="147">
        <f>'Units &amp; Income'!$H57</f>
        <v>0</v>
      </c>
      <c r="G19" s="147">
        <f>'Units &amp; Income'!D57</f>
        <v>0</v>
      </c>
      <c r="H19" s="148" t="e">
        <f>+$E19/$D19/$B$59</f>
        <v>#N/A</v>
      </c>
      <c r="M19" s="155">
        <f t="shared" si="5"/>
        <v>1.3</v>
      </c>
      <c r="N19" s="38" t="e">
        <f t="shared" si="6"/>
        <v>#N/A</v>
      </c>
      <c r="O19" s="38" t="e">
        <f t="shared" si="6"/>
        <v>#N/A</v>
      </c>
      <c r="P19" s="38" t="e">
        <f t="shared" si="6"/>
        <v>#N/A</v>
      </c>
      <c r="Q19" s="38" t="e">
        <f t="shared" si="6"/>
        <v>#N/A</v>
      </c>
      <c r="R19" s="38" t="e">
        <f t="shared" si="6"/>
        <v>#N/A</v>
      </c>
      <c r="S19" s="38" t="e">
        <f t="shared" si="6"/>
        <v>#N/A</v>
      </c>
      <c r="T19" s="38" t="e">
        <f t="shared" si="6"/>
        <v>#N/A</v>
      </c>
      <c r="U19" s="156" t="e">
        <f t="shared" si="6"/>
        <v>#N/A</v>
      </c>
      <c r="V19" s="11"/>
      <c r="W19" s="155" t="s">
        <v>232</v>
      </c>
      <c r="X19" s="38">
        <f t="shared" si="3"/>
        <v>102300</v>
      </c>
      <c r="Y19" s="156">
        <v>51150</v>
      </c>
      <c r="Z19" s="11"/>
      <c r="AA19" s="624">
        <v>1021</v>
      </c>
      <c r="AB19" s="625">
        <v>1112</v>
      </c>
      <c r="AC19" s="625">
        <v>1397</v>
      </c>
      <c r="AD19" s="625">
        <v>1780</v>
      </c>
      <c r="AE19" s="626">
        <v>2049</v>
      </c>
      <c r="AF19" s="72" t="str">
        <f t="shared" si="4"/>
        <v xml:space="preserve">Dutchess County </v>
      </c>
    </row>
    <row r="20" spans="2:32">
      <c r="B20" s="145" t="str">
        <f>+'Units &amp; Income'!A58</f>
        <v>2BR</v>
      </c>
      <c r="C20" s="36">
        <f>+IF(B20="Studio",$C$70,IF(B20="1BR",$C$71,IF(B20="2BR",$C$72, IF(B20="3BR",$C$73,IF(B20="4BR",$C$74,IF(B20="5BR",$C$75,))))))</f>
        <v>3</v>
      </c>
      <c r="D20" s="36">
        <f>IF(B20="Studio",IF($C$63="YES",0.6,0.7),IF(B20="1BR",$D$71,IF(B20="2BR",$D$72,IF(B20="3BR",$D$73,IF(B20="4BR",$D$74,IF(B20="5BR",$D$75,))))))</f>
        <v>0.9</v>
      </c>
      <c r="E20" s="146">
        <f>+F20/$B$61*12</f>
        <v>0</v>
      </c>
      <c r="F20" s="147">
        <f>'Units &amp; Income'!$H58</f>
        <v>0</v>
      </c>
      <c r="G20" s="147">
        <f>'Units &amp; Income'!D58</f>
        <v>0</v>
      </c>
      <c r="H20" s="148" t="e">
        <f>+$E20/$D20/$B$59</f>
        <v>#N/A</v>
      </c>
      <c r="M20" s="152">
        <f t="shared" si="5"/>
        <v>1.4000000000000001</v>
      </c>
      <c r="N20" s="153" t="e">
        <f t="shared" si="6"/>
        <v>#N/A</v>
      </c>
      <c r="O20" s="153" t="e">
        <f t="shared" si="6"/>
        <v>#N/A</v>
      </c>
      <c r="P20" s="153" t="e">
        <f t="shared" si="6"/>
        <v>#N/A</v>
      </c>
      <c r="Q20" s="153" t="e">
        <f t="shared" si="6"/>
        <v>#N/A</v>
      </c>
      <c r="R20" s="153" t="e">
        <f t="shared" si="6"/>
        <v>#N/A</v>
      </c>
      <c r="S20" s="153" t="e">
        <f t="shared" si="6"/>
        <v>#N/A</v>
      </c>
      <c r="T20" s="153" t="e">
        <f t="shared" si="6"/>
        <v>#N/A</v>
      </c>
      <c r="U20" s="154" t="e">
        <f t="shared" si="6"/>
        <v>#N/A</v>
      </c>
      <c r="V20" s="11"/>
      <c r="W20" s="152" t="s">
        <v>233</v>
      </c>
      <c r="X20" s="153">
        <f t="shared" si="3"/>
        <v>77600</v>
      </c>
      <c r="Y20" s="154">
        <v>38800</v>
      </c>
      <c r="Z20" s="11"/>
      <c r="AA20" s="621">
        <v>674</v>
      </c>
      <c r="AB20" s="622">
        <v>703</v>
      </c>
      <c r="AC20" s="622">
        <v>843</v>
      </c>
      <c r="AD20" s="622">
        <v>1051</v>
      </c>
      <c r="AE20" s="623">
        <v>1190</v>
      </c>
      <c r="AF20" s="72" t="str">
        <f t="shared" si="4"/>
        <v xml:space="preserve">Erie County </v>
      </c>
    </row>
    <row r="21" spans="2:32">
      <c r="B21" s="145" t="str">
        <f>+'Units &amp; Income'!A59</f>
        <v>3BR</v>
      </c>
      <c r="C21" s="36">
        <f>+IF(B21="Studio",$C$70,IF(B21="1BR",$C$71,IF(B21="2BR",$C$72, IF(B21="3BR",$C$73,IF(B21="4BR",$C$74,IF(B21="5BR",$C$75,))))))</f>
        <v>4.5</v>
      </c>
      <c r="D21" s="36">
        <f>IF(B21="Studio",IF($C$63="YES",0.6,0.7),IF(B21="1BR",$D$71,IF(B21="2BR",$D$72,IF(B21="3BR",$D$73,IF(B21="4BR",$D$74,IF(B21="5BR",$D$75,))))))</f>
        <v>1.04</v>
      </c>
      <c r="E21" s="146">
        <f>+F21/$B$61*12</f>
        <v>0</v>
      </c>
      <c r="F21" s="147">
        <f>'Units &amp; Income'!$H59</f>
        <v>0</v>
      </c>
      <c r="G21" s="147">
        <f>'Units &amp; Income'!D59</f>
        <v>0</v>
      </c>
      <c r="H21" s="148" t="e">
        <f>+$E21/$D21/$B$59</f>
        <v>#N/A</v>
      </c>
      <c r="M21" s="155">
        <f t="shared" si="5"/>
        <v>1.5000000000000002</v>
      </c>
      <c r="N21" s="38" t="e">
        <f t="shared" si="6"/>
        <v>#N/A</v>
      </c>
      <c r="O21" s="38" t="e">
        <f t="shared" si="6"/>
        <v>#N/A</v>
      </c>
      <c r="P21" s="38" t="e">
        <f t="shared" si="6"/>
        <v>#N/A</v>
      </c>
      <c r="Q21" s="38" t="e">
        <f t="shared" si="6"/>
        <v>#N/A</v>
      </c>
      <c r="R21" s="38" t="e">
        <f t="shared" si="6"/>
        <v>#N/A</v>
      </c>
      <c r="S21" s="38" t="e">
        <f t="shared" si="6"/>
        <v>#N/A</v>
      </c>
      <c r="T21" s="38" t="e">
        <f t="shared" si="6"/>
        <v>#N/A</v>
      </c>
      <c r="U21" s="156" t="e">
        <f t="shared" si="6"/>
        <v>#N/A</v>
      </c>
      <c r="V21" s="11"/>
      <c r="W21" s="155" t="s">
        <v>234</v>
      </c>
      <c r="X21" s="38">
        <f t="shared" si="3"/>
        <v>73700</v>
      </c>
      <c r="Y21" s="156">
        <v>36850</v>
      </c>
      <c r="Z21" s="11"/>
      <c r="AA21" s="624">
        <v>663</v>
      </c>
      <c r="AB21" s="625">
        <v>710</v>
      </c>
      <c r="AC21" s="625">
        <v>863</v>
      </c>
      <c r="AD21" s="625">
        <v>1164</v>
      </c>
      <c r="AE21" s="626">
        <v>1179</v>
      </c>
      <c r="AF21" s="72" t="str">
        <f t="shared" si="4"/>
        <v xml:space="preserve">Essex County </v>
      </c>
    </row>
    <row r="22" spans="2:32">
      <c r="B22" s="158" t="str">
        <f>+'Units &amp; Income'!A60</f>
        <v>4BR</v>
      </c>
      <c r="C22" s="159">
        <f>+IF(B22="Studio",$C$70,IF(B22="1BR",$C$71,IF(B22="2BR",$C$72, IF(B22="3BR",$C$73,IF(B22="4BR",$C$74,IF(B22="5BR",$C$75,))))))</f>
        <v>6</v>
      </c>
      <c r="D22" s="159">
        <f>IF(B22="Studio",IF($C$63="YES",0.6,0.7),IF(B22="1BR",$D$71,IF(B22="2BR",$D$72,IF(B22="3BR",$D$73,IF(B22="4BR",$D$74,IF(B22="5BR",$D$75,))))))</f>
        <v>1.1599999999999999</v>
      </c>
      <c r="E22" s="160">
        <f>+F22/$B$61*12</f>
        <v>0</v>
      </c>
      <c r="F22" s="161">
        <f>'Units &amp; Income'!$H60</f>
        <v>0</v>
      </c>
      <c r="G22" s="161">
        <f>'Units &amp; Income'!D60</f>
        <v>0</v>
      </c>
      <c r="H22" s="162" t="e">
        <f>+$E22/$D22/$B$59</f>
        <v>#N/A</v>
      </c>
      <c r="M22" s="152">
        <f t="shared" si="5"/>
        <v>1.6000000000000003</v>
      </c>
      <c r="N22" s="153" t="e">
        <f t="shared" si="6"/>
        <v>#N/A</v>
      </c>
      <c r="O22" s="153" t="e">
        <f t="shared" si="6"/>
        <v>#N/A</v>
      </c>
      <c r="P22" s="153" t="e">
        <f t="shared" si="6"/>
        <v>#N/A</v>
      </c>
      <c r="Q22" s="153" t="e">
        <f t="shared" si="6"/>
        <v>#N/A</v>
      </c>
      <c r="R22" s="153" t="e">
        <f t="shared" si="6"/>
        <v>#N/A</v>
      </c>
      <c r="S22" s="153" t="e">
        <f t="shared" si="6"/>
        <v>#N/A</v>
      </c>
      <c r="T22" s="153" t="e">
        <f t="shared" si="6"/>
        <v>#N/A</v>
      </c>
      <c r="U22" s="154" t="e">
        <f t="shared" si="6"/>
        <v>#N/A</v>
      </c>
      <c r="V22" s="11"/>
      <c r="W22" s="152" t="s">
        <v>235</v>
      </c>
      <c r="X22" s="153">
        <f t="shared" si="3"/>
        <v>67200</v>
      </c>
      <c r="Y22" s="154">
        <v>33600</v>
      </c>
      <c r="Z22" s="11"/>
      <c r="AA22" s="621">
        <v>533</v>
      </c>
      <c r="AB22" s="622">
        <v>652</v>
      </c>
      <c r="AC22" s="622">
        <v>744</v>
      </c>
      <c r="AD22" s="622">
        <v>993</v>
      </c>
      <c r="AE22" s="623">
        <v>1008</v>
      </c>
      <c r="AF22" s="72" t="str">
        <f t="shared" si="4"/>
        <v xml:space="preserve">Franklin County </v>
      </c>
    </row>
    <row r="23" spans="2:32">
      <c r="B23" s="34" t="s">
        <v>298</v>
      </c>
      <c r="C23" s="36"/>
      <c r="D23" s="36"/>
      <c r="E23" s="146"/>
      <c r="F23" s="146"/>
      <c r="G23" s="146"/>
      <c r="H23" s="37"/>
      <c r="M23" s="155">
        <f t="shared" si="5"/>
        <v>1.7000000000000004</v>
      </c>
      <c r="N23" s="38" t="e">
        <f t="shared" si="6"/>
        <v>#N/A</v>
      </c>
      <c r="O23" s="38" t="e">
        <f t="shared" si="6"/>
        <v>#N/A</v>
      </c>
      <c r="P23" s="38" t="e">
        <f t="shared" si="6"/>
        <v>#N/A</v>
      </c>
      <c r="Q23" s="38" t="e">
        <f t="shared" si="6"/>
        <v>#N/A</v>
      </c>
      <c r="R23" s="38" t="e">
        <f t="shared" si="6"/>
        <v>#N/A</v>
      </c>
      <c r="S23" s="38" t="e">
        <f t="shared" si="6"/>
        <v>#N/A</v>
      </c>
      <c r="T23" s="38" t="e">
        <f t="shared" si="6"/>
        <v>#N/A</v>
      </c>
      <c r="U23" s="156" t="e">
        <f t="shared" si="6"/>
        <v>#N/A</v>
      </c>
      <c r="W23" s="155" t="s">
        <v>236</v>
      </c>
      <c r="X23" s="38">
        <f t="shared" si="3"/>
        <v>67200</v>
      </c>
      <c r="Y23" s="156">
        <v>33600</v>
      </c>
      <c r="AA23" s="624">
        <v>557</v>
      </c>
      <c r="AB23" s="625">
        <v>668</v>
      </c>
      <c r="AC23" s="625">
        <v>815</v>
      </c>
      <c r="AD23" s="625">
        <v>1016</v>
      </c>
      <c r="AE23" s="626">
        <v>1201</v>
      </c>
      <c r="AF23" s="72" t="str">
        <f t="shared" si="4"/>
        <v xml:space="preserve">Fulton County </v>
      </c>
    </row>
    <row r="24" spans="2:32">
      <c r="B24" s="163" t="str">
        <f>+'Units &amp; Income'!A62</f>
        <v>Studio</v>
      </c>
      <c r="C24" s="164">
        <f>+IF(B24="Studio",$C$70,IF(B24="1BR",$C$71,IF(B24="2BR",$C$72, IF(B24="3BR",$C$73,IF(B24="4BR",$C$74,IF(B24="5BR",$C$75,))))))</f>
        <v>1</v>
      </c>
      <c r="D24" s="164">
        <f>IF(B24="Studio",IF($C$63="YES",0.6,0.7),IF(B24="1BR",$D$71,IF(B24="2BR",$D$72,IF(B24="3BR",$D$73,IF(B24="4BR",$D$74,IF(B24="5BR",$D$75,))))))</f>
        <v>0.7</v>
      </c>
      <c r="E24" s="165">
        <f>+F24/$B$61*12</f>
        <v>0</v>
      </c>
      <c r="F24" s="166">
        <f>'Units &amp; Income'!$H62</f>
        <v>0</v>
      </c>
      <c r="G24" s="166">
        <f>'Units &amp; Income'!D62</f>
        <v>0</v>
      </c>
      <c r="H24" s="167" t="e">
        <f>+$E24/$D24/$B$59</f>
        <v>#N/A</v>
      </c>
      <c r="M24" s="152">
        <f t="shared" si="5"/>
        <v>1.8000000000000005</v>
      </c>
      <c r="N24" s="153" t="e">
        <f t="shared" si="6"/>
        <v>#N/A</v>
      </c>
      <c r="O24" s="153" t="e">
        <f t="shared" si="6"/>
        <v>#N/A</v>
      </c>
      <c r="P24" s="153" t="e">
        <f t="shared" si="6"/>
        <v>#N/A</v>
      </c>
      <c r="Q24" s="153" t="e">
        <f t="shared" si="6"/>
        <v>#N/A</v>
      </c>
      <c r="R24" s="153" t="e">
        <f t="shared" si="6"/>
        <v>#N/A</v>
      </c>
      <c r="S24" s="153" t="e">
        <f t="shared" si="6"/>
        <v>#N/A</v>
      </c>
      <c r="T24" s="153" t="e">
        <f t="shared" si="6"/>
        <v>#N/A</v>
      </c>
      <c r="U24" s="154" t="e">
        <f t="shared" si="6"/>
        <v>#N/A</v>
      </c>
      <c r="W24" s="152" t="s">
        <v>237</v>
      </c>
      <c r="X24" s="153">
        <f t="shared" si="3"/>
        <v>73700</v>
      </c>
      <c r="Y24" s="154">
        <v>36850</v>
      </c>
      <c r="AA24" s="621">
        <v>578</v>
      </c>
      <c r="AB24" s="622">
        <v>680</v>
      </c>
      <c r="AC24" s="622">
        <v>820</v>
      </c>
      <c r="AD24" s="622">
        <v>1120</v>
      </c>
      <c r="AE24" s="623">
        <v>1221</v>
      </c>
      <c r="AF24" s="72" t="str">
        <f t="shared" si="4"/>
        <v xml:space="preserve">Genesee County </v>
      </c>
    </row>
    <row r="25" spans="2:32">
      <c r="B25" s="145" t="str">
        <f>+'Units &amp; Income'!A63</f>
        <v>1BR</v>
      </c>
      <c r="C25" s="36">
        <f>+IF(B25="Studio",$C$70,IF(B25="1BR",$C$71,IF(B25="2BR",$C$72, IF(B25="3BR",$C$73,IF(B25="4BR",$C$74,IF(B25="5BR",$C$75,))))))</f>
        <v>1.5</v>
      </c>
      <c r="D25" s="36">
        <f>IF(B25="Studio",IF($C$63="YES",0.6,0.7),IF(B25="1BR",$D$71,IF(B25="2BR",$D$72,IF(B25="3BR",$D$73,IF(B25="4BR",$D$74,IF(B25="5BR",$D$75,))))))</f>
        <v>0.75</v>
      </c>
      <c r="E25" s="146">
        <f>+F25/$B$61*12</f>
        <v>0</v>
      </c>
      <c r="F25" s="147">
        <f>'Units &amp; Income'!$H63</f>
        <v>0</v>
      </c>
      <c r="G25" s="147">
        <f>'Units &amp; Income'!D63</f>
        <v>0</v>
      </c>
      <c r="H25" s="148" t="e">
        <f>+$E25/$D25/$B$59</f>
        <v>#N/A</v>
      </c>
      <c r="M25" s="155">
        <f t="shared" si="5"/>
        <v>1.9000000000000006</v>
      </c>
      <c r="N25" s="38" t="e">
        <f t="shared" si="6"/>
        <v>#N/A</v>
      </c>
      <c r="O25" s="38" t="e">
        <f t="shared" si="6"/>
        <v>#N/A</v>
      </c>
      <c r="P25" s="38" t="e">
        <f t="shared" si="6"/>
        <v>#N/A</v>
      </c>
      <c r="Q25" s="38" t="e">
        <f t="shared" si="6"/>
        <v>#N/A</v>
      </c>
      <c r="R25" s="38" t="e">
        <f t="shared" si="6"/>
        <v>#N/A</v>
      </c>
      <c r="S25" s="38" t="e">
        <f t="shared" si="6"/>
        <v>#N/A</v>
      </c>
      <c r="T25" s="38" t="e">
        <f t="shared" si="6"/>
        <v>#N/A</v>
      </c>
      <c r="U25" s="156" t="e">
        <f t="shared" si="6"/>
        <v>#N/A</v>
      </c>
      <c r="W25" s="155" t="s">
        <v>238</v>
      </c>
      <c r="X25" s="38">
        <f t="shared" si="3"/>
        <v>73800</v>
      </c>
      <c r="Y25" s="156">
        <v>36900</v>
      </c>
      <c r="AA25" s="624">
        <v>631</v>
      </c>
      <c r="AB25" s="625">
        <v>775</v>
      </c>
      <c r="AC25" s="625">
        <v>968</v>
      </c>
      <c r="AD25" s="625">
        <v>1295</v>
      </c>
      <c r="AE25" s="626">
        <v>1397</v>
      </c>
      <c r="AF25" s="72" t="str">
        <f t="shared" si="4"/>
        <v xml:space="preserve">Greene County </v>
      </c>
    </row>
    <row r="26" spans="2:32">
      <c r="B26" s="145" t="str">
        <f>+'Units &amp; Income'!A64</f>
        <v>2BR</v>
      </c>
      <c r="C26" s="36">
        <f>+IF(B26="Studio",$C$70,IF(B26="1BR",$C$71,IF(B26="2BR",$C$72, IF(B26="3BR",$C$73,IF(B26="4BR",$C$74,IF(B26="5BR",$C$75,))))))</f>
        <v>3</v>
      </c>
      <c r="D26" s="36">
        <f>IF(B26="Studio",IF($C$63="YES",0.6,0.7),IF(B26="1BR",$D$71,IF(B26="2BR",$D$72,IF(B26="3BR",$D$73,IF(B26="4BR",$D$74,IF(B26="5BR",$D$75,))))))</f>
        <v>0.9</v>
      </c>
      <c r="E26" s="146">
        <f>+F26/$B$61*12</f>
        <v>0</v>
      </c>
      <c r="F26" s="147">
        <f>'Units &amp; Income'!$H64</f>
        <v>0</v>
      </c>
      <c r="G26" s="147">
        <f>'Units &amp; Income'!D64</f>
        <v>0</v>
      </c>
      <c r="H26" s="148" t="e">
        <f>+$E26/$D26/$B$59</f>
        <v>#N/A</v>
      </c>
      <c r="M26" s="152">
        <f t="shared" si="5"/>
        <v>2.0000000000000004</v>
      </c>
      <c r="N26" s="184" t="e">
        <f t="shared" si="6"/>
        <v>#N/A</v>
      </c>
      <c r="O26" s="184" t="e">
        <f t="shared" si="6"/>
        <v>#N/A</v>
      </c>
      <c r="P26" s="184" t="e">
        <f t="shared" si="6"/>
        <v>#N/A</v>
      </c>
      <c r="Q26" s="184" t="e">
        <f t="shared" si="6"/>
        <v>#N/A</v>
      </c>
      <c r="R26" s="184" t="e">
        <f t="shared" si="6"/>
        <v>#N/A</v>
      </c>
      <c r="S26" s="184" t="e">
        <f t="shared" si="6"/>
        <v>#N/A</v>
      </c>
      <c r="T26" s="184" t="e">
        <f t="shared" si="6"/>
        <v>#N/A</v>
      </c>
      <c r="U26" s="185" t="e">
        <f t="shared" si="6"/>
        <v>#N/A</v>
      </c>
      <c r="W26" s="152" t="s">
        <v>239</v>
      </c>
      <c r="X26" s="153">
        <f t="shared" si="3"/>
        <v>68400</v>
      </c>
      <c r="Y26" s="154">
        <v>34200</v>
      </c>
      <c r="AA26" s="621">
        <v>638</v>
      </c>
      <c r="AB26" s="622">
        <v>642</v>
      </c>
      <c r="AC26" s="622">
        <v>846</v>
      </c>
      <c r="AD26" s="622">
        <v>1098</v>
      </c>
      <c r="AE26" s="623">
        <v>1211</v>
      </c>
      <c r="AF26" s="72" t="str">
        <f t="shared" si="4"/>
        <v xml:space="preserve">Hamilton County </v>
      </c>
    </row>
    <row r="27" spans="2:32">
      <c r="B27" s="145" t="str">
        <f>+'Units &amp; Income'!A65</f>
        <v>3BR</v>
      </c>
      <c r="C27" s="36">
        <f>+IF(B27="Studio",$C$70,IF(B27="1BR",$C$71,IF(B27="2BR",$C$72, IF(B27="3BR",$C$73,IF(B27="4BR",$C$74,IF(B27="5BR",$C$75,))))))</f>
        <v>4.5</v>
      </c>
      <c r="D27" s="36">
        <f>IF(B27="Studio",IF($C$63="YES",0.6,0.7),IF(B27="1BR",$D$71,IF(B27="2BR",$D$72,IF(B27="3BR",$D$73,IF(B27="4BR",$D$74,IF(B27="5BR",$D$75,))))))</f>
        <v>1.04</v>
      </c>
      <c r="E27" s="146">
        <f>+F27/$B$61*12</f>
        <v>0</v>
      </c>
      <c r="F27" s="147">
        <f>'Units &amp; Income'!$H65</f>
        <v>0</v>
      </c>
      <c r="G27" s="147">
        <f>'Units &amp; Income'!D65</f>
        <v>0</v>
      </c>
      <c r="H27" s="148" t="e">
        <f>+$E27/$D27/$B$59</f>
        <v>#N/A</v>
      </c>
      <c r="M27" s="155">
        <f t="shared" si="5"/>
        <v>2.1000000000000005</v>
      </c>
      <c r="N27" s="38" t="e">
        <f t="shared" si="6"/>
        <v>#N/A</v>
      </c>
      <c r="O27" s="38" t="e">
        <f t="shared" si="6"/>
        <v>#N/A</v>
      </c>
      <c r="P27" s="38" t="e">
        <f t="shared" si="6"/>
        <v>#N/A</v>
      </c>
      <c r="Q27" s="38" t="e">
        <f t="shared" si="6"/>
        <v>#N/A</v>
      </c>
      <c r="R27" s="38" t="e">
        <f t="shared" si="6"/>
        <v>#N/A</v>
      </c>
      <c r="S27" s="38" t="e">
        <f t="shared" si="6"/>
        <v>#N/A</v>
      </c>
      <c r="T27" s="38" t="e">
        <f t="shared" si="6"/>
        <v>#N/A</v>
      </c>
      <c r="U27" s="156" t="e">
        <f t="shared" si="6"/>
        <v>#N/A</v>
      </c>
      <c r="W27" s="155" t="s">
        <v>240</v>
      </c>
      <c r="X27" s="38">
        <f t="shared" si="3"/>
        <v>71700</v>
      </c>
      <c r="Y27" s="156">
        <v>35850</v>
      </c>
      <c r="AA27" s="624">
        <v>563</v>
      </c>
      <c r="AB27" s="625">
        <v>613</v>
      </c>
      <c r="AC27" s="625">
        <v>790</v>
      </c>
      <c r="AD27" s="625">
        <v>984</v>
      </c>
      <c r="AE27" s="626">
        <v>1096</v>
      </c>
      <c r="AF27" s="72" t="str">
        <f t="shared" si="4"/>
        <v xml:space="preserve">Herkimer County </v>
      </c>
    </row>
    <row r="28" spans="2:32">
      <c r="B28" s="158" t="str">
        <f>+'Units &amp; Income'!A66</f>
        <v>4BR</v>
      </c>
      <c r="C28" s="159">
        <f>+IF(B28="Studio",$C$70,IF(B28="1BR",$C$71,IF(B28="2BR",$C$72, IF(B28="3BR",$C$73,IF(B28="4BR",$C$74,IF(B28="5BR",$C$75,))))))</f>
        <v>6</v>
      </c>
      <c r="D28" s="159">
        <f>IF(B28="Studio",IF($C$63="YES",0.6,0.7),IF(B28="1BR",$D$71,IF(B28="2BR",$D$72,IF(B28="3BR",$D$73,IF(B28="4BR",$D$74,IF(B28="5BR",$D$75,))))))</f>
        <v>1.1599999999999999</v>
      </c>
      <c r="E28" s="160">
        <f>+F28/$B$61*12</f>
        <v>0</v>
      </c>
      <c r="F28" s="161">
        <f>'Units &amp; Income'!$H66</f>
        <v>0</v>
      </c>
      <c r="G28" s="161">
        <f>'Units &amp; Income'!D66</f>
        <v>0</v>
      </c>
      <c r="H28" s="162" t="e">
        <f>+$E28/$D28/$B$59</f>
        <v>#N/A</v>
      </c>
      <c r="M28" s="152">
        <f t="shared" si="5"/>
        <v>2.2000000000000006</v>
      </c>
      <c r="N28" s="184" t="e">
        <f t="shared" si="6"/>
        <v>#N/A</v>
      </c>
      <c r="O28" s="184" t="e">
        <f t="shared" si="6"/>
        <v>#N/A</v>
      </c>
      <c r="P28" s="184" t="e">
        <f t="shared" si="6"/>
        <v>#N/A</v>
      </c>
      <c r="Q28" s="184" t="e">
        <f t="shared" si="6"/>
        <v>#N/A</v>
      </c>
      <c r="R28" s="184" t="e">
        <f t="shared" si="6"/>
        <v>#N/A</v>
      </c>
      <c r="S28" s="184" t="e">
        <f t="shared" si="6"/>
        <v>#N/A</v>
      </c>
      <c r="T28" s="184" t="e">
        <f t="shared" si="6"/>
        <v>#N/A</v>
      </c>
      <c r="U28" s="185" t="e">
        <f t="shared" si="6"/>
        <v>#N/A</v>
      </c>
      <c r="W28" s="152" t="s">
        <v>241</v>
      </c>
      <c r="X28" s="153">
        <f t="shared" si="3"/>
        <v>67200</v>
      </c>
      <c r="Y28" s="154">
        <v>33600</v>
      </c>
      <c r="AA28" s="621">
        <v>716</v>
      </c>
      <c r="AB28" s="622">
        <v>834</v>
      </c>
      <c r="AC28" s="622">
        <v>1099</v>
      </c>
      <c r="AD28" s="622">
        <v>1432</v>
      </c>
      <c r="AE28" s="623">
        <v>1637</v>
      </c>
      <c r="AF28" s="72" t="str">
        <f t="shared" si="4"/>
        <v xml:space="preserve">Jefferson County </v>
      </c>
    </row>
    <row r="29" spans="2:32">
      <c r="B29" s="34" t="s">
        <v>299</v>
      </c>
      <c r="C29" s="36"/>
      <c r="D29" s="36"/>
      <c r="E29" s="146"/>
      <c r="F29" s="146"/>
      <c r="G29" s="146"/>
      <c r="H29" s="37"/>
      <c r="M29" s="155">
        <f t="shared" si="5"/>
        <v>2.3000000000000007</v>
      </c>
      <c r="N29" s="38" t="e">
        <f t="shared" si="6"/>
        <v>#N/A</v>
      </c>
      <c r="O29" s="38" t="e">
        <f t="shared" si="6"/>
        <v>#N/A</v>
      </c>
      <c r="P29" s="38" t="e">
        <f t="shared" si="6"/>
        <v>#N/A</v>
      </c>
      <c r="Q29" s="38" t="e">
        <f t="shared" si="6"/>
        <v>#N/A</v>
      </c>
      <c r="R29" s="38" t="e">
        <f t="shared" si="6"/>
        <v>#N/A</v>
      </c>
      <c r="S29" s="38" t="e">
        <f t="shared" si="6"/>
        <v>#N/A</v>
      </c>
      <c r="T29" s="38" t="e">
        <f t="shared" si="6"/>
        <v>#N/A</v>
      </c>
      <c r="U29" s="156" t="e">
        <f t="shared" si="6"/>
        <v>#N/A</v>
      </c>
      <c r="W29" s="155" t="s">
        <v>242</v>
      </c>
      <c r="X29" s="38">
        <f t="shared" si="3"/>
        <v>113700</v>
      </c>
      <c r="Y29" s="156">
        <v>56850</v>
      </c>
      <c r="AA29" s="624">
        <v>1665</v>
      </c>
      <c r="AB29" s="625">
        <v>1714</v>
      </c>
      <c r="AC29" s="625">
        <v>1951</v>
      </c>
      <c r="AD29" s="625">
        <v>2472</v>
      </c>
      <c r="AE29" s="626">
        <v>2643</v>
      </c>
      <c r="AF29" s="72" t="str">
        <f t="shared" si="4"/>
        <v xml:space="preserve">Kings County </v>
      </c>
    </row>
    <row r="30" spans="2:32">
      <c r="B30" s="163" t="str">
        <f>+'Units &amp; Income'!A68</f>
        <v>Studio</v>
      </c>
      <c r="C30" s="164">
        <f>+IF(B30="Studio",$C$70,IF(B30="1BR",$C$71,IF(B30="2BR",$C$72, IF(B30="3BR",$C$73,IF(B30="4BR",$C$74,IF(B30="5BR",$C$75,))))))</f>
        <v>1</v>
      </c>
      <c r="D30" s="164">
        <f>IF(B30="Studio",IF($C$63="YES",0.6,0.7),IF(B30="1BR",$D$71,IF(B30="2BR",$D$72,IF(B30="3BR",$D$73,IF(B30="4BR",$D$74,IF(B30="5BR",$D$75,))))))</f>
        <v>0.7</v>
      </c>
      <c r="E30" s="165">
        <f>+F30/$B$61*12</f>
        <v>0</v>
      </c>
      <c r="F30" s="166">
        <f>'Units &amp; Income'!$H68</f>
        <v>0</v>
      </c>
      <c r="G30" s="166">
        <f>'Units &amp; Income'!D68</f>
        <v>0</v>
      </c>
      <c r="H30" s="167" t="e">
        <f>+$E30/$D30/$B$59</f>
        <v>#N/A</v>
      </c>
      <c r="M30" s="152">
        <f t="shared" si="5"/>
        <v>2.4000000000000008</v>
      </c>
      <c r="N30" s="184" t="e">
        <f t="shared" si="6"/>
        <v>#N/A</v>
      </c>
      <c r="O30" s="184" t="e">
        <f t="shared" si="6"/>
        <v>#N/A</v>
      </c>
      <c r="P30" s="184" t="e">
        <f t="shared" si="6"/>
        <v>#N/A</v>
      </c>
      <c r="Q30" s="184" t="e">
        <f t="shared" si="6"/>
        <v>#N/A</v>
      </c>
      <c r="R30" s="184" t="e">
        <f t="shared" si="6"/>
        <v>#N/A</v>
      </c>
      <c r="S30" s="184" t="e">
        <f t="shared" si="6"/>
        <v>#N/A</v>
      </c>
      <c r="T30" s="184" t="e">
        <f t="shared" si="6"/>
        <v>#N/A</v>
      </c>
      <c r="U30" s="185" t="e">
        <f t="shared" si="6"/>
        <v>#N/A</v>
      </c>
      <c r="W30" s="152" t="s">
        <v>243</v>
      </c>
      <c r="X30" s="153">
        <f t="shared" si="3"/>
        <v>67200</v>
      </c>
      <c r="Y30" s="154">
        <v>33600</v>
      </c>
      <c r="AA30" s="621">
        <v>610</v>
      </c>
      <c r="AB30" s="622">
        <v>656</v>
      </c>
      <c r="AC30" s="622">
        <v>778</v>
      </c>
      <c r="AD30" s="622">
        <v>1066</v>
      </c>
      <c r="AE30" s="623">
        <v>1201</v>
      </c>
      <c r="AF30" s="72" t="str">
        <f t="shared" si="4"/>
        <v xml:space="preserve">Lewis County </v>
      </c>
    </row>
    <row r="31" spans="2:32" ht="16.5" thickBot="1">
      <c r="B31" s="145" t="str">
        <f>+'Units &amp; Income'!A69</f>
        <v>1BR</v>
      </c>
      <c r="C31" s="36">
        <f>+IF(B31="Studio",$C$70,IF(B31="1BR",$C$71,IF(B31="2BR",$C$72, IF(B31="3BR",$C$73,IF(B31="4BR",$C$74,IF(B31="5BR",$C$75,))))))</f>
        <v>1.5</v>
      </c>
      <c r="D31" s="36">
        <f>IF(B31="Studio",IF($C$63="YES",0.6,0.7),IF(B31="1BR",$D$71,IF(B31="2BR",$D$72,IF(B31="3BR",$D$73,IF(B31="4BR",$D$74,IF(B31="5BR",$D$75,))))))</f>
        <v>0.75</v>
      </c>
      <c r="E31" s="146">
        <f>+F31/$B$61*12</f>
        <v>0</v>
      </c>
      <c r="F31" s="147">
        <f>'Units &amp; Income'!$H69</f>
        <v>0</v>
      </c>
      <c r="G31" s="147">
        <f>'Units &amp; Income'!D69</f>
        <v>0</v>
      </c>
      <c r="H31" s="148" t="e">
        <f>+$E31/$D31/$B$59</f>
        <v>#N/A</v>
      </c>
      <c r="M31" s="188">
        <f t="shared" si="5"/>
        <v>2.5000000000000009</v>
      </c>
      <c r="N31" s="189" t="e">
        <f t="shared" si="6"/>
        <v>#N/A</v>
      </c>
      <c r="O31" s="189" t="e">
        <f t="shared" si="6"/>
        <v>#N/A</v>
      </c>
      <c r="P31" s="189" t="e">
        <f t="shared" si="6"/>
        <v>#N/A</v>
      </c>
      <c r="Q31" s="189" t="e">
        <f t="shared" si="6"/>
        <v>#N/A</v>
      </c>
      <c r="R31" s="189" t="e">
        <f t="shared" si="6"/>
        <v>#N/A</v>
      </c>
      <c r="S31" s="189" t="e">
        <f t="shared" si="6"/>
        <v>#N/A</v>
      </c>
      <c r="T31" s="189" t="e">
        <f t="shared" si="6"/>
        <v>#N/A</v>
      </c>
      <c r="U31" s="190" t="e">
        <f t="shared" si="6"/>
        <v>#N/A</v>
      </c>
      <c r="W31" s="155" t="s">
        <v>244</v>
      </c>
      <c r="X31" s="38">
        <f t="shared" si="3"/>
        <v>76400</v>
      </c>
      <c r="Y31" s="156">
        <v>38200</v>
      </c>
      <c r="AA31" s="624">
        <v>668</v>
      </c>
      <c r="AB31" s="625">
        <v>775</v>
      </c>
      <c r="AC31" s="625">
        <v>972</v>
      </c>
      <c r="AD31" s="625">
        <v>1211</v>
      </c>
      <c r="AE31" s="626">
        <v>1317</v>
      </c>
      <c r="AF31" s="72" t="str">
        <f t="shared" si="4"/>
        <v xml:space="preserve">Livingston County </v>
      </c>
    </row>
    <row r="32" spans="2:32">
      <c r="B32" s="145" t="str">
        <f>+'Units &amp; Income'!A70</f>
        <v>2BR</v>
      </c>
      <c r="C32" s="36">
        <f>+IF(B32="Studio",$C$70,IF(B32="1BR",$C$71,IF(B32="2BR",$C$72, IF(B32="3BR",$C$73,IF(B32="4BR",$C$74,IF(B32="5BR",$C$75,))))))</f>
        <v>3</v>
      </c>
      <c r="D32" s="36">
        <f>IF(B32="Studio",IF($C$63="YES",0.6,0.7),IF(B32="1BR",$D$71,IF(B32="2BR",$D$72,IF(B32="3BR",$D$73,IF(B32="4BR",$D$74,IF(B32="5BR",$D$75,))))))</f>
        <v>0.9</v>
      </c>
      <c r="E32" s="146">
        <f>+F32/$B$61*12</f>
        <v>0</v>
      </c>
      <c r="F32" s="147">
        <f>'Units &amp; Income'!$H70</f>
        <v>0</v>
      </c>
      <c r="G32" s="147">
        <f>'Units &amp; Income'!D70</f>
        <v>0</v>
      </c>
      <c r="H32" s="148" t="e">
        <f>+$E32/$D32/$B$59</f>
        <v>#N/A</v>
      </c>
      <c r="W32" s="152" t="s">
        <v>245</v>
      </c>
      <c r="X32" s="153">
        <f t="shared" si="3"/>
        <v>75800</v>
      </c>
      <c r="Y32" s="154">
        <v>37900</v>
      </c>
      <c r="AA32" s="621">
        <v>633</v>
      </c>
      <c r="AB32" s="622">
        <v>723</v>
      </c>
      <c r="AC32" s="622">
        <v>900</v>
      </c>
      <c r="AD32" s="622">
        <v>1127</v>
      </c>
      <c r="AE32" s="623">
        <v>1291</v>
      </c>
      <c r="AF32" s="72" t="str">
        <f t="shared" si="4"/>
        <v xml:space="preserve">Madison County </v>
      </c>
    </row>
    <row r="33" spans="2:32">
      <c r="B33" s="145" t="str">
        <f>+'Units &amp; Income'!A71</f>
        <v>3BR</v>
      </c>
      <c r="C33" s="36">
        <f>+IF(B33="Studio",$C$70,IF(B33="1BR",$C$71,IF(B33="2BR",$C$72, IF(B33="3BR",$C$73,IF(B33="4BR",$C$74,IF(B33="5BR",$C$75,))))))</f>
        <v>4.5</v>
      </c>
      <c r="D33" s="36">
        <f>IF(B33="Studio",IF($C$63="YES",0.6,0.7),IF(B33="1BR",$D$71,IF(B33="2BR",$D$72,IF(B33="3BR",$D$73,IF(B33="4BR",$D$74,IF(B33="5BR",$D$75,))))))</f>
        <v>1.04</v>
      </c>
      <c r="E33" s="146">
        <f>+F33/$B$61*12</f>
        <v>0</v>
      </c>
      <c r="F33" s="147">
        <f>'Units &amp; Income'!$H71</f>
        <v>0</v>
      </c>
      <c r="G33" s="147">
        <f>'Units &amp; Income'!D71</f>
        <v>0</v>
      </c>
      <c r="H33" s="148" t="e">
        <f>+$E33/$D33/$B$59</f>
        <v>#N/A</v>
      </c>
      <c r="W33" s="155" t="s">
        <v>246</v>
      </c>
      <c r="X33" s="38">
        <f t="shared" si="3"/>
        <v>76400</v>
      </c>
      <c r="Y33" s="156">
        <v>38200</v>
      </c>
      <c r="AA33" s="624">
        <v>668</v>
      </c>
      <c r="AB33" s="625">
        <v>775</v>
      </c>
      <c r="AC33" s="625">
        <v>972</v>
      </c>
      <c r="AD33" s="625">
        <v>1211</v>
      </c>
      <c r="AE33" s="626">
        <v>1317</v>
      </c>
      <c r="AF33" s="72" t="str">
        <f t="shared" si="4"/>
        <v xml:space="preserve">Monroe County </v>
      </c>
    </row>
    <row r="34" spans="2:32">
      <c r="B34" s="158" t="str">
        <f>+'Units &amp; Income'!A72</f>
        <v>4BR</v>
      </c>
      <c r="C34" s="159">
        <f>+IF(B34="Studio",$C$70,IF(B34="1BR",$C$71,IF(B34="2BR",$C$72, IF(B34="3BR",$C$73,IF(B34="4BR",$C$74,IF(B34="5BR",$C$75,))))))</f>
        <v>6</v>
      </c>
      <c r="D34" s="159">
        <f>IF(B34="Studio",IF($C$63="YES",0.6,0.7),IF(B34="1BR",$D$71,IF(B34="2BR",$D$72,IF(B34="3BR",$D$73,IF(B34="4BR",$D$74,IF(B34="5BR",$D$75,))))))</f>
        <v>1.1599999999999999</v>
      </c>
      <c r="E34" s="160">
        <f>+F34/$B$61*12</f>
        <v>0</v>
      </c>
      <c r="F34" s="161">
        <f>'Units &amp; Income'!$H72</f>
        <v>0</v>
      </c>
      <c r="G34" s="161">
        <f>'Units &amp; Income'!D72</f>
        <v>0</v>
      </c>
      <c r="H34" s="162" t="e">
        <f>+$E34/$D34/$B$59</f>
        <v>#N/A</v>
      </c>
      <c r="W34" s="152" t="s">
        <v>247</v>
      </c>
      <c r="X34" s="153">
        <f t="shared" si="3"/>
        <v>67200</v>
      </c>
      <c r="Y34" s="154">
        <v>33600</v>
      </c>
      <c r="AA34" s="621">
        <v>660</v>
      </c>
      <c r="AB34" s="622">
        <v>664</v>
      </c>
      <c r="AC34" s="622">
        <v>787</v>
      </c>
      <c r="AD34" s="622">
        <v>981</v>
      </c>
      <c r="AE34" s="623">
        <v>1112</v>
      </c>
      <c r="AF34" s="72" t="str">
        <f t="shared" si="4"/>
        <v xml:space="preserve">Montgomery County </v>
      </c>
    </row>
    <row r="35" spans="2:32">
      <c r="B35" s="34" t="s">
        <v>356</v>
      </c>
      <c r="C35" s="36"/>
      <c r="D35" s="36"/>
      <c r="E35" s="146"/>
      <c r="F35" s="146"/>
      <c r="G35" s="146"/>
      <c r="H35" s="37"/>
      <c r="W35" s="155" t="s">
        <v>248</v>
      </c>
      <c r="X35" s="38">
        <f t="shared" si="3"/>
        <v>126600</v>
      </c>
      <c r="Y35" s="156">
        <v>63300</v>
      </c>
      <c r="AA35" s="624">
        <v>1298</v>
      </c>
      <c r="AB35" s="625">
        <v>1624</v>
      </c>
      <c r="AC35" s="625">
        <v>1992</v>
      </c>
      <c r="AD35" s="625">
        <v>2563</v>
      </c>
      <c r="AE35" s="626">
        <v>2858</v>
      </c>
      <c r="AF35" s="72" t="str">
        <f t="shared" si="4"/>
        <v xml:space="preserve">Nassau County </v>
      </c>
    </row>
    <row r="36" spans="2:32">
      <c r="B36" s="163" t="str">
        <f>+'Units &amp; Income'!A74</f>
        <v>Studio</v>
      </c>
      <c r="C36" s="164">
        <f>+IF(B36="Studio",$C$70,IF(B36="1BR",$C$71,IF(B36="2BR",$C$72, IF(B36="3BR",$C$73,IF(B36="4BR",$C$74,IF(B36="5BR",$C$75,))))))</f>
        <v>1</v>
      </c>
      <c r="D36" s="164">
        <f>IF(B36="Studio",IF($C$63="YES",0.6,0.7),IF(B36="1BR",$D$71,IF(B36="2BR",$D$72,IF(B36="3BR",$D$73,IF(B36="4BR",$D$74,IF(B36="5BR",$D$75,))))))</f>
        <v>0.7</v>
      </c>
      <c r="E36" s="165">
        <f>+F36/$B$61*12</f>
        <v>0</v>
      </c>
      <c r="F36" s="166">
        <f>'Units &amp; Income'!$H74</f>
        <v>0</v>
      </c>
      <c r="G36" s="166">
        <f>'Units &amp; Income'!D74</f>
        <v>0</v>
      </c>
      <c r="H36" s="167" t="e">
        <f>+$E36/$D36/$B$59</f>
        <v>#N/A</v>
      </c>
      <c r="W36" s="152" t="s">
        <v>249</v>
      </c>
      <c r="X36" s="153">
        <f t="shared" si="3"/>
        <v>113700</v>
      </c>
      <c r="Y36" s="154">
        <v>56850</v>
      </c>
      <c r="AA36" s="621">
        <v>1665</v>
      </c>
      <c r="AB36" s="622">
        <v>1714</v>
      </c>
      <c r="AC36" s="622">
        <v>1951</v>
      </c>
      <c r="AD36" s="622">
        <v>2472</v>
      </c>
      <c r="AE36" s="623">
        <v>2643</v>
      </c>
      <c r="AF36" s="72" t="str">
        <f t="shared" si="4"/>
        <v xml:space="preserve">New York County </v>
      </c>
    </row>
    <row r="37" spans="2:32">
      <c r="B37" s="145" t="str">
        <f>+'Units &amp; Income'!A75</f>
        <v>1BR</v>
      </c>
      <c r="C37" s="36">
        <f>+IF(B37="Studio",$C$70,IF(B37="1BR",$C$71,IF(B37="2BR",$C$72, IF(B37="3BR",$C$73,IF(B37="4BR",$C$74,IF(B37="5BR",$C$75,))))))</f>
        <v>1.5</v>
      </c>
      <c r="D37" s="36">
        <f>IF(B37="Studio",IF($C$63="YES",0.6,0.7),IF(B37="1BR",$D$71,IF(B37="2BR",$D$72,IF(B37="3BR",$D$73,IF(B37="4BR",$D$74,IF(B37="5BR",$D$75,))))))</f>
        <v>0.75</v>
      </c>
      <c r="E37" s="146">
        <f>+F37/$B$61*12</f>
        <v>0</v>
      </c>
      <c r="F37" s="147">
        <f>'Units &amp; Income'!$H75</f>
        <v>0</v>
      </c>
      <c r="G37" s="147">
        <f>'Units &amp; Income'!D75</f>
        <v>0</v>
      </c>
      <c r="H37" s="148" t="e">
        <f>+$E37/$D37/$B$59</f>
        <v>#N/A</v>
      </c>
      <c r="W37" s="155" t="s">
        <v>250</v>
      </c>
      <c r="X37" s="38">
        <f t="shared" si="3"/>
        <v>77600</v>
      </c>
      <c r="Y37" s="156">
        <v>38800</v>
      </c>
      <c r="AA37" s="624">
        <v>674</v>
      </c>
      <c r="AB37" s="625">
        <v>703</v>
      </c>
      <c r="AC37" s="625">
        <v>843</v>
      </c>
      <c r="AD37" s="625">
        <v>1051</v>
      </c>
      <c r="AE37" s="626">
        <v>1190</v>
      </c>
      <c r="AF37" s="72" t="str">
        <f t="shared" si="4"/>
        <v xml:space="preserve">Niagara County </v>
      </c>
    </row>
    <row r="38" spans="2:32">
      <c r="B38" s="145" t="str">
        <f>+'Units &amp; Income'!A76</f>
        <v>2BR</v>
      </c>
      <c r="C38" s="36">
        <f>+IF(B38="Studio",$C$70,IF(B38="1BR",$C$71,IF(B38="2BR",$C$72, IF(B38="3BR",$C$73,IF(B38="4BR",$C$74,IF(B38="5BR",$C$75,))))))</f>
        <v>3</v>
      </c>
      <c r="D38" s="36">
        <f>IF(B38="Studio",IF($C$63="YES",0.6,0.7),IF(B38="1BR",$D$71,IF(B38="2BR",$D$72,IF(B38="3BR",$D$73,IF(B38="4BR",$D$74,IF(B38="5BR",$D$75,))))))</f>
        <v>0.9</v>
      </c>
      <c r="E38" s="146">
        <f>+F38/$B$61*12</f>
        <v>0</v>
      </c>
      <c r="F38" s="147">
        <f>'Units &amp; Income'!$H76</f>
        <v>0</v>
      </c>
      <c r="G38" s="147">
        <f>'Units &amp; Income'!D76</f>
        <v>0</v>
      </c>
      <c r="H38" s="148" t="e">
        <f>+$E38/$D38/$B$59</f>
        <v>#N/A</v>
      </c>
      <c r="W38" s="152" t="s">
        <v>251</v>
      </c>
      <c r="X38" s="153">
        <f t="shared" si="3"/>
        <v>71700</v>
      </c>
      <c r="Y38" s="154">
        <v>35850</v>
      </c>
      <c r="AA38" s="621">
        <v>563</v>
      </c>
      <c r="AB38" s="622">
        <v>613</v>
      </c>
      <c r="AC38" s="622">
        <v>790</v>
      </c>
      <c r="AD38" s="622">
        <v>984</v>
      </c>
      <c r="AE38" s="623">
        <v>1096</v>
      </c>
      <c r="AF38" s="72" t="str">
        <f t="shared" si="4"/>
        <v xml:space="preserve">Oneida County </v>
      </c>
    </row>
    <row r="39" spans="2:32">
      <c r="B39" s="145" t="str">
        <f>+'Units &amp; Income'!A77</f>
        <v>3BR</v>
      </c>
      <c r="C39" s="36">
        <f>+IF(B39="Studio",$C$70,IF(B39="1BR",$C$71,IF(B39="2BR",$C$72, IF(B39="3BR",$C$73,IF(B39="4BR",$C$74,IF(B39="5BR",$C$75,))))))</f>
        <v>4.5</v>
      </c>
      <c r="D39" s="36">
        <f>IF(B39="Studio",IF($C$63="YES",0.6,0.7),IF(B39="1BR",$D$71,IF(B39="2BR",$D$72,IF(B39="3BR",$D$73,IF(B39="4BR",$D$74,IF(B39="5BR",$D$75,))))))</f>
        <v>1.04</v>
      </c>
      <c r="E39" s="146">
        <f>+F39/$B$61*12</f>
        <v>0</v>
      </c>
      <c r="F39" s="147">
        <f>'Units &amp; Income'!$H77</f>
        <v>0</v>
      </c>
      <c r="G39" s="147">
        <f>'Units &amp; Income'!D77</f>
        <v>0</v>
      </c>
      <c r="H39" s="148" t="e">
        <f>+$E39/$D39/$B$59</f>
        <v>#N/A</v>
      </c>
      <c r="W39" s="155" t="s">
        <v>252</v>
      </c>
      <c r="X39" s="38">
        <f t="shared" si="3"/>
        <v>75800</v>
      </c>
      <c r="Y39" s="156">
        <v>37900</v>
      </c>
      <c r="AA39" s="624">
        <v>633</v>
      </c>
      <c r="AB39" s="625">
        <v>723</v>
      </c>
      <c r="AC39" s="625">
        <v>900</v>
      </c>
      <c r="AD39" s="625">
        <v>1127</v>
      </c>
      <c r="AE39" s="626">
        <v>1291</v>
      </c>
      <c r="AF39" s="72" t="str">
        <f t="shared" si="4"/>
        <v xml:space="preserve">Onondaga County </v>
      </c>
    </row>
    <row r="40" spans="2:32">
      <c r="B40" s="158" t="str">
        <f>+'Units &amp; Income'!A78</f>
        <v>4BR</v>
      </c>
      <c r="C40" s="159">
        <f>+IF(B40="Studio",$C$70,IF(B40="1BR",$C$71,IF(B40="2BR",$C$72, IF(B40="3BR",$C$73,IF(B40="4BR",$C$74,IF(B40="5BR",$C$75,))))))</f>
        <v>6</v>
      </c>
      <c r="D40" s="159">
        <f>IF(B40="Studio",IF($C$63="YES",0.6,0.7),IF(B40="1BR",$D$71,IF(B40="2BR",$D$72,IF(B40="3BR",$D$73,IF(B40="4BR",$D$74,IF(B40="5BR",$D$75,))))))</f>
        <v>1.1599999999999999</v>
      </c>
      <c r="E40" s="160">
        <f>+F40/$B$61*12</f>
        <v>0</v>
      </c>
      <c r="F40" s="161">
        <f>'Units &amp; Income'!$H78</f>
        <v>0</v>
      </c>
      <c r="G40" s="161">
        <f>'Units &amp; Income'!D78</f>
        <v>0</v>
      </c>
      <c r="H40" s="162" t="e">
        <f>+$E40/$D40/$B$59</f>
        <v>#N/A</v>
      </c>
      <c r="W40" s="152" t="s">
        <v>253</v>
      </c>
      <c r="X40" s="153">
        <f t="shared" si="3"/>
        <v>76400</v>
      </c>
      <c r="Y40" s="154">
        <v>38200</v>
      </c>
      <c r="AA40" s="621">
        <v>668</v>
      </c>
      <c r="AB40" s="622">
        <v>775</v>
      </c>
      <c r="AC40" s="622">
        <v>972</v>
      </c>
      <c r="AD40" s="622">
        <v>1211</v>
      </c>
      <c r="AE40" s="623">
        <v>1317</v>
      </c>
      <c r="AF40" s="72" t="str">
        <f t="shared" si="4"/>
        <v xml:space="preserve">Ontario County </v>
      </c>
    </row>
    <row r="41" spans="2:32">
      <c r="B41" s="34" t="s">
        <v>629</v>
      </c>
      <c r="C41" s="36"/>
      <c r="D41" s="36"/>
      <c r="E41" s="146"/>
      <c r="F41" s="146"/>
      <c r="G41" s="146"/>
      <c r="H41" s="37"/>
      <c r="W41" s="155" t="s">
        <v>254</v>
      </c>
      <c r="X41" s="38">
        <f t="shared" si="3"/>
        <v>102300</v>
      </c>
      <c r="Y41" s="156">
        <v>51150</v>
      </c>
      <c r="AA41" s="624">
        <v>1021</v>
      </c>
      <c r="AB41" s="625">
        <v>1112</v>
      </c>
      <c r="AC41" s="625">
        <v>1397</v>
      </c>
      <c r="AD41" s="625">
        <v>1780</v>
      </c>
      <c r="AE41" s="626">
        <v>2049</v>
      </c>
      <c r="AF41" s="72" t="str">
        <f t="shared" si="4"/>
        <v xml:space="preserve">Orange County </v>
      </c>
    </row>
    <row r="42" spans="2:32">
      <c r="B42" s="163" t="str">
        <f>+'Units &amp; Income'!A80</f>
        <v>Studio</v>
      </c>
      <c r="C42" s="164">
        <f>+IF(B42="Studio",$C$70,IF(B42="1BR",$C$71,IF(B42="2BR",$C$72, IF(B42="3BR",$C$73,IF(B42="4BR",$C$74,IF(B42="5BR",$C$75,))))))</f>
        <v>1</v>
      </c>
      <c r="D42" s="164">
        <f>IF(B42="Studio",IF($C$63="YES",0.6,0.7),IF(B42="1BR",$D$71,IF(B42="2BR",$D$72,IF(B42="3BR",$D$73,IF(B42="4BR",$D$74,IF(B42="5BR",$D$75,))))))</f>
        <v>0.7</v>
      </c>
      <c r="E42" s="165">
        <f>+F42/$B$61*12</f>
        <v>0</v>
      </c>
      <c r="F42" s="166">
        <f>'Units &amp; Income'!$H80</f>
        <v>0</v>
      </c>
      <c r="G42" s="166">
        <f>'Units &amp; Income'!D80</f>
        <v>0</v>
      </c>
      <c r="H42" s="167" t="e">
        <f>+$E42/$D42/$B$59</f>
        <v>#N/A</v>
      </c>
      <c r="W42" s="152" t="s">
        <v>255</v>
      </c>
      <c r="X42" s="153">
        <f t="shared" si="3"/>
        <v>76400</v>
      </c>
      <c r="Y42" s="154">
        <v>38200</v>
      </c>
      <c r="AA42" s="621">
        <v>668</v>
      </c>
      <c r="AB42" s="622">
        <v>775</v>
      </c>
      <c r="AC42" s="622">
        <v>972</v>
      </c>
      <c r="AD42" s="622">
        <v>1211</v>
      </c>
      <c r="AE42" s="623">
        <v>1317</v>
      </c>
      <c r="AF42" s="72" t="str">
        <f t="shared" si="4"/>
        <v xml:space="preserve">Orleans County </v>
      </c>
    </row>
    <row r="43" spans="2:32">
      <c r="B43" s="145" t="str">
        <f>+'Units &amp; Income'!A81</f>
        <v>1BR</v>
      </c>
      <c r="C43" s="36">
        <f>+IF(B43="Studio",$C$70,IF(B43="1BR",$C$71,IF(B43="2BR",$C$72, IF(B43="3BR",$C$73,IF(B43="4BR",$C$74,IF(B43="5BR",$C$75,))))))</f>
        <v>1.5</v>
      </c>
      <c r="D43" s="36">
        <f>IF(B43="Studio",IF($C$63="YES",0.6,0.7),IF(B43="1BR",$D$71,IF(B43="2BR",$D$72,IF(B43="3BR",$D$73,IF(B43="4BR",$D$74,IF(B43="5BR",$D$75,))))))</f>
        <v>0.75</v>
      </c>
      <c r="E43" s="146">
        <f>+F43/$B$61*12</f>
        <v>0</v>
      </c>
      <c r="F43" s="147">
        <f>'Units &amp; Income'!$H81</f>
        <v>0</v>
      </c>
      <c r="G43" s="147">
        <f>'Units &amp; Income'!D81</f>
        <v>0</v>
      </c>
      <c r="H43" s="148" t="e">
        <f>+$E43/$D43/$B$59</f>
        <v>#N/A</v>
      </c>
      <c r="W43" s="155" t="s">
        <v>256</v>
      </c>
      <c r="X43" s="38">
        <f t="shared" si="3"/>
        <v>75800</v>
      </c>
      <c r="Y43" s="156">
        <v>37900</v>
      </c>
      <c r="AA43" s="624">
        <v>633</v>
      </c>
      <c r="AB43" s="625">
        <v>723</v>
      </c>
      <c r="AC43" s="625">
        <v>900</v>
      </c>
      <c r="AD43" s="625">
        <v>1127</v>
      </c>
      <c r="AE43" s="626">
        <v>1291</v>
      </c>
      <c r="AF43" s="72" t="str">
        <f t="shared" si="4"/>
        <v xml:space="preserve">Oswego County </v>
      </c>
    </row>
    <row r="44" spans="2:32">
      <c r="B44" s="145" t="str">
        <f>+'Units &amp; Income'!A82</f>
        <v>2BR</v>
      </c>
      <c r="C44" s="36">
        <f>+IF(B44="Studio",$C$70,IF(B44="1BR",$C$71,IF(B44="2BR",$C$72, IF(B44="3BR",$C$73,IF(B44="4BR",$C$74,IF(B44="5BR",$C$75,))))))</f>
        <v>3</v>
      </c>
      <c r="D44" s="36">
        <f>IF(B44="Studio",IF($C$63="YES",0.6,0.7),IF(B44="1BR",$D$71,IF(B44="2BR",$D$72,IF(B44="3BR",$D$73,IF(B44="4BR",$D$74,IF(B44="5BR",$D$75,))))))</f>
        <v>0.9</v>
      </c>
      <c r="E44" s="146">
        <f>+F44/$B$61*12</f>
        <v>0</v>
      </c>
      <c r="F44" s="147">
        <f>'Units &amp; Income'!$H82</f>
        <v>0</v>
      </c>
      <c r="G44" s="147">
        <f>'Units &amp; Income'!D82</f>
        <v>0</v>
      </c>
      <c r="H44" s="148" t="e">
        <f>+$E44/$D44/$B$59</f>
        <v>#N/A</v>
      </c>
      <c r="W44" s="152" t="s">
        <v>257</v>
      </c>
      <c r="X44" s="153">
        <f t="shared" si="3"/>
        <v>68100</v>
      </c>
      <c r="Y44" s="154">
        <v>34050</v>
      </c>
      <c r="AA44" s="621">
        <v>692</v>
      </c>
      <c r="AB44" s="622">
        <v>696</v>
      </c>
      <c r="AC44" s="622">
        <v>873</v>
      </c>
      <c r="AD44" s="622">
        <v>1095</v>
      </c>
      <c r="AE44" s="623">
        <v>1404</v>
      </c>
      <c r="AF44" s="72" t="str">
        <f t="shared" si="4"/>
        <v xml:space="preserve">Otsego County </v>
      </c>
    </row>
    <row r="45" spans="2:32">
      <c r="B45" s="145" t="str">
        <f>+'Units &amp; Income'!A83</f>
        <v>3BR</v>
      </c>
      <c r="C45" s="36">
        <f>+IF(B45="Studio",$C$70,IF(B45="1BR",$C$71,IF(B45="2BR",$C$72, IF(B45="3BR",$C$73,IF(B45="4BR",$C$74,IF(B45="5BR",$C$75,))))))</f>
        <v>4.5</v>
      </c>
      <c r="D45" s="36">
        <f>IF(B45="Studio",IF($C$63="YES",0.6,0.7),IF(B45="1BR",$D$71,IF(B45="2BR",$D$72,IF(B45="3BR",$D$73,IF(B45="4BR",$D$74,IF(B45="5BR",$D$75,))))))</f>
        <v>1.04</v>
      </c>
      <c r="E45" s="146">
        <f>+F45/$B$61*12</f>
        <v>0</v>
      </c>
      <c r="F45" s="147">
        <f>'Units &amp; Income'!$H83</f>
        <v>0</v>
      </c>
      <c r="G45" s="147">
        <f>'Units &amp; Income'!D83</f>
        <v>0</v>
      </c>
      <c r="H45" s="148" t="e">
        <f>+$E45/$D45/$B$59</f>
        <v>#N/A</v>
      </c>
      <c r="W45" s="155" t="s">
        <v>258</v>
      </c>
      <c r="X45" s="38">
        <f t="shared" si="3"/>
        <v>113700</v>
      </c>
      <c r="Y45" s="156">
        <v>56850</v>
      </c>
      <c r="AA45" s="624">
        <v>1665</v>
      </c>
      <c r="AB45" s="625">
        <v>1714</v>
      </c>
      <c r="AC45" s="625">
        <v>1951</v>
      </c>
      <c r="AD45" s="625">
        <v>2472</v>
      </c>
      <c r="AE45" s="626">
        <v>2643</v>
      </c>
      <c r="AF45" s="72" t="str">
        <f t="shared" si="4"/>
        <v xml:space="preserve">Putnam County </v>
      </c>
    </row>
    <row r="46" spans="2:32">
      <c r="B46" s="158" t="str">
        <f>+'Units &amp; Income'!A84</f>
        <v>4BR</v>
      </c>
      <c r="C46" s="159">
        <f>+IF(B46="Studio",$C$70,IF(B46="1BR",$C$71,IF(B46="2BR",$C$72, IF(B46="3BR",$C$73,IF(B46="4BR",$C$74,IF(B46="5BR",$C$75,))))))</f>
        <v>6</v>
      </c>
      <c r="D46" s="159">
        <f>IF(B46="Studio",IF($C$63="YES",0.6,0.7),IF(B46="1BR",$D$71,IF(B46="2BR",$D$72,IF(B46="3BR",$D$73,IF(B46="4BR",$D$74,IF(B46="5BR",$D$75,))))))</f>
        <v>1.1599999999999999</v>
      </c>
      <c r="E46" s="160">
        <f>+F46/$B$61*12</f>
        <v>0</v>
      </c>
      <c r="F46" s="161">
        <f>'Units &amp; Income'!$H84</f>
        <v>0</v>
      </c>
      <c r="G46" s="161">
        <f>'Units &amp; Income'!D84</f>
        <v>0</v>
      </c>
      <c r="H46" s="162" t="e">
        <f>+$E46/$D46/$B$59</f>
        <v>#N/A</v>
      </c>
      <c r="W46" s="152" t="s">
        <v>259</v>
      </c>
      <c r="X46" s="153">
        <f t="shared" si="3"/>
        <v>113700</v>
      </c>
      <c r="Y46" s="154">
        <v>56850</v>
      </c>
      <c r="AA46" s="621">
        <v>1665</v>
      </c>
      <c r="AB46" s="622">
        <v>1714</v>
      </c>
      <c r="AC46" s="622">
        <v>1951</v>
      </c>
      <c r="AD46" s="622">
        <v>2472</v>
      </c>
      <c r="AE46" s="623">
        <v>2643</v>
      </c>
      <c r="AF46" s="72" t="str">
        <f t="shared" si="4"/>
        <v xml:space="preserve">Queens County </v>
      </c>
    </row>
    <row r="47" spans="2:32">
      <c r="B47" s="34" t="s">
        <v>630</v>
      </c>
      <c r="C47" s="36"/>
      <c r="D47" s="36"/>
      <c r="E47" s="146"/>
      <c r="F47" s="146"/>
      <c r="G47" s="146"/>
      <c r="H47" s="37"/>
      <c r="W47" s="155" t="s">
        <v>260</v>
      </c>
      <c r="X47" s="38">
        <f t="shared" si="3"/>
        <v>97000</v>
      </c>
      <c r="Y47" s="156">
        <v>48500</v>
      </c>
      <c r="AA47" s="624">
        <v>747</v>
      </c>
      <c r="AB47" s="625">
        <v>855</v>
      </c>
      <c r="AC47" s="625">
        <v>1054</v>
      </c>
      <c r="AD47" s="625">
        <v>1313</v>
      </c>
      <c r="AE47" s="626">
        <v>1428</v>
      </c>
      <c r="AF47" s="72" t="str">
        <f t="shared" si="4"/>
        <v xml:space="preserve">Rensselaer County </v>
      </c>
    </row>
    <row r="48" spans="2:32">
      <c r="B48" s="163" t="str">
        <f>+'Units &amp; Income'!A86</f>
        <v>Studio</v>
      </c>
      <c r="C48" s="164">
        <f>+IF(B48="Studio",$C$70,IF(B48="1BR",$C$71,IF(B48="2BR",$C$72, IF(B48="3BR",$C$73,IF(B48="4BR",$C$74,IF(B48="5BR",$C$75,))))))</f>
        <v>1</v>
      </c>
      <c r="D48" s="164">
        <f>IF(B48="Studio",IF($C$63="YES",0.6,0.7),IF(B48="1BR",$D$71,IF(B48="2BR",$D$72,IF(B48="3BR",$D$73,IF(B48="4BR",$D$74,IF(B48="5BR",$D$75,))))))</f>
        <v>0.7</v>
      </c>
      <c r="E48" s="165">
        <f>+F48/$B$61*12</f>
        <v>0</v>
      </c>
      <c r="F48" s="166">
        <f>'Units &amp; Income'!$H86</f>
        <v>0</v>
      </c>
      <c r="G48" s="166">
        <f>'Units &amp; Income'!D86</f>
        <v>0</v>
      </c>
      <c r="H48" s="167" t="e">
        <f>+$E48/$D48/$B$59</f>
        <v>#N/A</v>
      </c>
      <c r="W48" s="152" t="s">
        <v>261</v>
      </c>
      <c r="X48" s="153">
        <f t="shared" si="3"/>
        <v>113700</v>
      </c>
      <c r="Y48" s="154">
        <v>56850</v>
      </c>
      <c r="AA48" s="621">
        <v>1665</v>
      </c>
      <c r="AB48" s="622">
        <v>1714</v>
      </c>
      <c r="AC48" s="622">
        <v>1951</v>
      </c>
      <c r="AD48" s="622">
        <v>2472</v>
      </c>
      <c r="AE48" s="623">
        <v>2643</v>
      </c>
      <c r="AF48" s="72" t="str">
        <f t="shared" si="4"/>
        <v xml:space="preserve">Richmond County </v>
      </c>
    </row>
    <row r="49" spans="2:32">
      <c r="B49" s="145" t="str">
        <f>+'Units &amp; Income'!A87</f>
        <v>1BR</v>
      </c>
      <c r="C49" s="36">
        <f>+IF(B49="Studio",$C$70,IF(B49="1BR",$C$71,IF(B49="2BR",$C$72, IF(B49="3BR",$C$73,IF(B49="4BR",$C$74,IF(B49="5BR",$C$75,))))))</f>
        <v>1.5</v>
      </c>
      <c r="D49" s="36">
        <f>IF(B49="Studio",IF($C$63="YES",0.6,0.7),IF(B49="1BR",$D$71,IF(B49="2BR",$D$72,IF(B49="3BR",$D$73,IF(B49="4BR",$D$74,IF(B49="5BR",$D$75,))))))</f>
        <v>0.75</v>
      </c>
      <c r="E49" s="146">
        <f>+F49/$B$61*12</f>
        <v>0</v>
      </c>
      <c r="F49" s="147">
        <f>'Units &amp; Income'!$H87</f>
        <v>0</v>
      </c>
      <c r="G49" s="147">
        <f>'Units &amp; Income'!D87</f>
        <v>0</v>
      </c>
      <c r="H49" s="148" t="e">
        <f>+$E49/$D49/$B$59</f>
        <v>#N/A</v>
      </c>
      <c r="W49" s="155" t="s">
        <v>262</v>
      </c>
      <c r="X49" s="38">
        <f t="shared" si="3"/>
        <v>113700</v>
      </c>
      <c r="Y49" s="156">
        <v>56850</v>
      </c>
      <c r="AA49" s="624">
        <v>1665</v>
      </c>
      <c r="AB49" s="625">
        <v>1714</v>
      </c>
      <c r="AC49" s="625">
        <v>1951</v>
      </c>
      <c r="AD49" s="625">
        <v>2472</v>
      </c>
      <c r="AE49" s="626">
        <v>2643</v>
      </c>
      <c r="AF49" s="72" t="str">
        <f t="shared" si="4"/>
        <v xml:space="preserve">Rockland County </v>
      </c>
    </row>
    <row r="50" spans="2:32">
      <c r="B50" s="145" t="str">
        <f>+'Units &amp; Income'!A88</f>
        <v>2BR</v>
      </c>
      <c r="C50" s="36">
        <f>+IF(B50="Studio",$C$70,IF(B50="1BR",$C$71,IF(B50="2BR",$C$72, IF(B50="3BR",$C$73,IF(B50="4BR",$C$74,IF(B50="5BR",$C$75,))))))</f>
        <v>3</v>
      </c>
      <c r="D50" s="36">
        <f>IF(B50="Studio",IF($C$63="YES",0.6,0.7),IF(B50="1BR",$D$71,IF(B50="2BR",$D$72,IF(B50="3BR",$D$73,IF(B50="4BR",$D$74,IF(B50="5BR",$D$75,))))))</f>
        <v>0.9</v>
      </c>
      <c r="E50" s="146">
        <f>+F50/$B$61*12</f>
        <v>0</v>
      </c>
      <c r="F50" s="147">
        <f>'Units &amp; Income'!$H88</f>
        <v>0</v>
      </c>
      <c r="G50" s="147">
        <f>'Units &amp; Income'!D88</f>
        <v>0</v>
      </c>
      <c r="H50" s="148" t="e">
        <f>+$E50/$D50/$B$59</f>
        <v>#N/A</v>
      </c>
      <c r="W50" s="152" t="s">
        <v>263</v>
      </c>
      <c r="X50" s="153">
        <f t="shared" si="3"/>
        <v>97000</v>
      </c>
      <c r="Y50" s="154">
        <v>48500</v>
      </c>
      <c r="AA50" s="621">
        <v>747</v>
      </c>
      <c r="AB50" s="622">
        <v>855</v>
      </c>
      <c r="AC50" s="622">
        <v>1054</v>
      </c>
      <c r="AD50" s="622">
        <v>1313</v>
      </c>
      <c r="AE50" s="623">
        <v>1428</v>
      </c>
      <c r="AF50" s="72" t="str">
        <f t="shared" si="4"/>
        <v xml:space="preserve">Saratoga County </v>
      </c>
    </row>
    <row r="51" spans="2:32">
      <c r="B51" s="145" t="str">
        <f>+'Units &amp; Income'!A89</f>
        <v>3BR</v>
      </c>
      <c r="C51" s="36">
        <f>+IF(B51="Studio",$C$70,IF(B51="1BR",$C$71,IF(B51="2BR",$C$72, IF(B51="3BR",$C$73,IF(B51="4BR",$C$74,IF(B51="5BR",$C$75,))))))</f>
        <v>4.5</v>
      </c>
      <c r="D51" s="36">
        <f>IF(B51="Studio",IF($C$63="YES",0.6,0.7),IF(B51="1BR",$D$71,IF(B51="2BR",$D$72,IF(B51="3BR",$D$73,IF(B51="4BR",$D$74,IF(B51="5BR",$D$75,))))))</f>
        <v>1.04</v>
      </c>
      <c r="E51" s="146">
        <f>+F51/$B$61*12</f>
        <v>0</v>
      </c>
      <c r="F51" s="147">
        <f>'Units &amp; Income'!$H89</f>
        <v>0</v>
      </c>
      <c r="G51" s="147">
        <f>'Units &amp; Income'!D89</f>
        <v>0</v>
      </c>
      <c r="H51" s="148" t="e">
        <f>+$E51/$D51/$B$59</f>
        <v>#N/A</v>
      </c>
      <c r="W51" s="155" t="s">
        <v>264</v>
      </c>
      <c r="X51" s="38">
        <f t="shared" si="3"/>
        <v>97000</v>
      </c>
      <c r="Y51" s="156">
        <v>48500</v>
      </c>
      <c r="AA51" s="624">
        <v>747</v>
      </c>
      <c r="AB51" s="625">
        <v>855</v>
      </c>
      <c r="AC51" s="625">
        <v>1054</v>
      </c>
      <c r="AD51" s="625">
        <v>1313</v>
      </c>
      <c r="AE51" s="626">
        <v>1428</v>
      </c>
      <c r="AF51" s="72" t="str">
        <f t="shared" si="4"/>
        <v xml:space="preserve">Schenectady County </v>
      </c>
    </row>
    <row r="52" spans="2:32" ht="16.5" thickBot="1">
      <c r="B52" s="191" t="str">
        <f>+'Units &amp; Income'!A90</f>
        <v>4BR</v>
      </c>
      <c r="C52" s="192">
        <f>+IF(B52="Studio",$C$70,IF(B52="1BR",$C$71,IF(B52="2BR",$C$72, IF(B52="3BR",$C$73,IF(B52="4BR",$C$74,IF(B52="5BR",$C$75,))))))</f>
        <v>6</v>
      </c>
      <c r="D52" s="192">
        <f>IF(B52="Studio",IF($C$63="YES",0.6,0.7),IF(B52="1BR",$D$71,IF(B52="2BR",$D$72,IF(B52="3BR",$D$73,IF(B52="4BR",$D$74,IF(B52="5BR",$D$75,))))))</f>
        <v>1.1599999999999999</v>
      </c>
      <c r="E52" s="193">
        <f>+F52/$B$61*12</f>
        <v>0</v>
      </c>
      <c r="F52" s="161">
        <f>'Units &amp; Income'!$H90</f>
        <v>0</v>
      </c>
      <c r="G52" s="161">
        <f>'Units &amp; Income'!D90</f>
        <v>0</v>
      </c>
      <c r="H52" s="148" t="e">
        <f>+$E52/$D52/$B$59</f>
        <v>#N/A</v>
      </c>
      <c r="W52" s="152" t="s">
        <v>265</v>
      </c>
      <c r="X52" s="153">
        <f t="shared" si="3"/>
        <v>97000</v>
      </c>
      <c r="Y52" s="154">
        <v>48500</v>
      </c>
      <c r="AA52" s="621">
        <v>747</v>
      </c>
      <c r="AB52" s="622">
        <v>855</v>
      </c>
      <c r="AC52" s="622">
        <v>1054</v>
      </c>
      <c r="AD52" s="622">
        <v>1313</v>
      </c>
      <c r="AE52" s="623">
        <v>1428</v>
      </c>
      <c r="AF52" s="72" t="str">
        <f t="shared" si="4"/>
        <v xml:space="preserve">Schoharie County </v>
      </c>
    </row>
    <row r="53" spans="2:32" ht="16.5" thickBot="1">
      <c r="B53" s="42"/>
      <c r="C53" s="192"/>
      <c r="D53" s="192"/>
      <c r="E53" s="192"/>
      <c r="F53" s="192"/>
      <c r="G53" s="197">
        <f>+SUM(G6:G34)</f>
        <v>0</v>
      </c>
      <c r="H53" s="1381" t="e">
        <f>+SUMPRODUCT(G6:G34,H6:H34)/SUM(G6:G34)</f>
        <v>#N/A</v>
      </c>
      <c r="W53" s="155" t="s">
        <v>266</v>
      </c>
      <c r="X53" s="38">
        <f t="shared" si="3"/>
        <v>67200</v>
      </c>
      <c r="Y53" s="156">
        <v>33600</v>
      </c>
      <c r="AA53" s="624">
        <v>579</v>
      </c>
      <c r="AB53" s="625">
        <v>620</v>
      </c>
      <c r="AC53" s="625">
        <v>738</v>
      </c>
      <c r="AD53" s="625">
        <v>1049</v>
      </c>
      <c r="AE53" s="626">
        <v>1246</v>
      </c>
      <c r="AF53" s="72" t="str">
        <f t="shared" si="4"/>
        <v xml:space="preserve">Schuyler County </v>
      </c>
    </row>
    <row r="54" spans="2:32" ht="16.5" thickBot="1">
      <c r="W54" s="152" t="s">
        <v>267</v>
      </c>
      <c r="X54" s="153">
        <f t="shared" si="3"/>
        <v>69700</v>
      </c>
      <c r="Y54" s="154">
        <v>34850</v>
      </c>
      <c r="AA54" s="621">
        <v>681</v>
      </c>
      <c r="AB54" s="622">
        <v>685</v>
      </c>
      <c r="AC54" s="622">
        <v>828</v>
      </c>
      <c r="AD54" s="622">
        <v>1094</v>
      </c>
      <c r="AE54" s="623">
        <v>1255</v>
      </c>
      <c r="AF54" s="72" t="str">
        <f t="shared" si="4"/>
        <v xml:space="preserve">Seneca County </v>
      </c>
    </row>
    <row r="55" spans="2:32">
      <c r="B55" s="125" t="s">
        <v>772</v>
      </c>
      <c r="C55" s="32"/>
      <c r="D55" s="32"/>
      <c r="E55" s="32"/>
      <c r="F55" s="126"/>
      <c r="W55" s="155" t="s">
        <v>268</v>
      </c>
      <c r="X55" s="38">
        <f t="shared" si="3"/>
        <v>67200</v>
      </c>
      <c r="Y55" s="156">
        <v>33600</v>
      </c>
      <c r="AA55" s="624">
        <v>625</v>
      </c>
      <c r="AB55" s="625">
        <v>665</v>
      </c>
      <c r="AC55" s="625">
        <v>830</v>
      </c>
      <c r="AD55" s="625">
        <v>1034</v>
      </c>
      <c r="AE55" s="626">
        <v>1247</v>
      </c>
      <c r="AF55" s="72" t="str">
        <f t="shared" si="4"/>
        <v xml:space="preserve">St. Lawrence County </v>
      </c>
    </row>
    <row r="56" spans="2:32">
      <c r="B56" s="135"/>
      <c r="C56" s="11"/>
      <c r="D56" s="11"/>
      <c r="E56" s="11"/>
      <c r="F56" s="136"/>
      <c r="W56" s="152" t="s">
        <v>269</v>
      </c>
      <c r="X56" s="153">
        <f t="shared" si="3"/>
        <v>67200</v>
      </c>
      <c r="Y56" s="154">
        <v>33600</v>
      </c>
      <c r="AA56" s="621">
        <v>632</v>
      </c>
      <c r="AB56" s="622">
        <v>641</v>
      </c>
      <c r="AC56" s="622">
        <v>760</v>
      </c>
      <c r="AD56" s="622">
        <v>1020</v>
      </c>
      <c r="AE56" s="623">
        <v>1179</v>
      </c>
      <c r="AF56" s="72" t="str">
        <f t="shared" si="4"/>
        <v xml:space="preserve">Steuben County </v>
      </c>
    </row>
    <row r="57" spans="2:32">
      <c r="B57" s="1754">
        <f>'Sources and Uses'!B4</f>
        <v>0</v>
      </c>
      <c r="C57" s="1645"/>
      <c r="D57" s="11"/>
      <c r="E57" s="11"/>
      <c r="F57" s="35"/>
      <c r="W57" s="155" t="s">
        <v>270</v>
      </c>
      <c r="X57" s="38">
        <f t="shared" si="3"/>
        <v>126600</v>
      </c>
      <c r="Y57" s="156">
        <v>63300</v>
      </c>
      <c r="AA57" s="624">
        <v>1298</v>
      </c>
      <c r="AB57" s="625">
        <v>1624</v>
      </c>
      <c r="AC57" s="625">
        <v>1992</v>
      </c>
      <c r="AD57" s="625">
        <v>2563</v>
      </c>
      <c r="AE57" s="626">
        <v>2858</v>
      </c>
      <c r="AF57" s="72" t="str">
        <f t="shared" si="4"/>
        <v xml:space="preserve">Suffolk County </v>
      </c>
    </row>
    <row r="58" spans="2:32">
      <c r="B58" s="34"/>
      <c r="C58" s="11"/>
      <c r="D58" s="11"/>
      <c r="E58" s="11"/>
      <c r="F58" s="35"/>
      <c r="W58" s="152" t="s">
        <v>271</v>
      </c>
      <c r="X58" s="153">
        <f t="shared" si="3"/>
        <v>75500</v>
      </c>
      <c r="Y58" s="154">
        <v>37750</v>
      </c>
      <c r="AA58" s="621">
        <v>652</v>
      </c>
      <c r="AB58" s="622">
        <v>806</v>
      </c>
      <c r="AC58" s="622">
        <v>1000</v>
      </c>
      <c r="AD58" s="622">
        <v>1259</v>
      </c>
      <c r="AE58" s="623">
        <v>1384</v>
      </c>
      <c r="AF58" s="72" t="str">
        <f t="shared" si="4"/>
        <v xml:space="preserve">Sullivan County </v>
      </c>
    </row>
    <row r="59" spans="2:32">
      <c r="B59" s="639" t="e">
        <f>+INDEX($X$6:$X$67,MATCH(AMI_Area_Name,$W$6:$W$67,))</f>
        <v>#N/A</v>
      </c>
      <c r="C59" s="127" t="s">
        <v>284</v>
      </c>
      <c r="D59" s="11"/>
      <c r="E59" s="11"/>
      <c r="F59" s="35"/>
      <c r="W59" s="155" t="s">
        <v>272</v>
      </c>
      <c r="X59" s="38">
        <f t="shared" si="3"/>
        <v>76100</v>
      </c>
      <c r="Y59" s="156">
        <v>38050</v>
      </c>
      <c r="AA59" s="624">
        <v>606</v>
      </c>
      <c r="AB59" s="625">
        <v>634</v>
      </c>
      <c r="AC59" s="625">
        <v>820</v>
      </c>
      <c r="AD59" s="625">
        <v>1070</v>
      </c>
      <c r="AE59" s="626">
        <v>1224</v>
      </c>
      <c r="AF59" s="72" t="str">
        <f t="shared" si="4"/>
        <v xml:space="preserve">Tioga County </v>
      </c>
    </row>
    <row r="60" spans="2:32">
      <c r="B60" s="639" t="e">
        <f>+INDEX($AC$6:$AC$67,MATCH(AMI_Area_Name,$W$6:$W$67,))</f>
        <v>#N/A</v>
      </c>
      <c r="C60" s="157" t="s">
        <v>285</v>
      </c>
      <c r="D60" s="11"/>
      <c r="E60" s="11"/>
      <c r="F60" s="35"/>
      <c r="W60" s="152" t="s">
        <v>273</v>
      </c>
      <c r="X60" s="153">
        <f t="shared" si="3"/>
        <v>85600</v>
      </c>
      <c r="Y60" s="154">
        <v>42800</v>
      </c>
      <c r="AA60" s="621">
        <v>919</v>
      </c>
      <c r="AB60" s="622">
        <v>969</v>
      </c>
      <c r="AC60" s="622">
        <v>1172</v>
      </c>
      <c r="AD60" s="622">
        <v>1496</v>
      </c>
      <c r="AE60" s="623">
        <v>1748</v>
      </c>
      <c r="AF60" s="72" t="str">
        <f t="shared" si="4"/>
        <v xml:space="preserve">Tompkins County </v>
      </c>
    </row>
    <row r="61" spans="2:32">
      <c r="B61" s="638">
        <v>0.3</v>
      </c>
      <c r="C61" s="11" t="s">
        <v>286</v>
      </c>
      <c r="D61" s="11"/>
      <c r="E61" s="11"/>
      <c r="F61" s="35"/>
      <c r="W61" s="155" t="s">
        <v>274</v>
      </c>
      <c r="X61" s="38">
        <f t="shared" si="3"/>
        <v>83700</v>
      </c>
      <c r="Y61" s="156">
        <v>41850</v>
      </c>
      <c r="AA61" s="624">
        <v>792</v>
      </c>
      <c r="AB61" s="625">
        <v>967</v>
      </c>
      <c r="AC61" s="625">
        <v>1215</v>
      </c>
      <c r="AD61" s="625">
        <v>1563</v>
      </c>
      <c r="AE61" s="626">
        <v>1768</v>
      </c>
      <c r="AF61" s="72" t="str">
        <f t="shared" si="4"/>
        <v xml:space="preserve">Ulster County </v>
      </c>
    </row>
    <row r="62" spans="2:32">
      <c r="B62" s="34"/>
      <c r="C62" s="11"/>
      <c r="D62" s="11"/>
      <c r="E62" s="11"/>
      <c r="F62" s="35"/>
      <c r="W62" s="152" t="s">
        <v>275</v>
      </c>
      <c r="X62" s="153">
        <f t="shared" si="3"/>
        <v>75200</v>
      </c>
      <c r="Y62" s="154">
        <v>37600</v>
      </c>
      <c r="AA62" s="621">
        <v>671</v>
      </c>
      <c r="AB62" s="622">
        <v>754</v>
      </c>
      <c r="AC62" s="622">
        <v>956</v>
      </c>
      <c r="AD62" s="622">
        <v>1231</v>
      </c>
      <c r="AE62" s="623">
        <v>1344</v>
      </c>
      <c r="AF62" s="72" t="str">
        <f t="shared" si="4"/>
        <v xml:space="preserve">Warren County </v>
      </c>
    </row>
    <row r="63" spans="2:32">
      <c r="B63" s="168"/>
      <c r="C63" s="169"/>
      <c r="D63" s="11"/>
      <c r="E63" s="11"/>
      <c r="F63" s="35"/>
      <c r="W63" s="155" t="s">
        <v>276</v>
      </c>
      <c r="X63" s="38">
        <f t="shared" si="3"/>
        <v>75200</v>
      </c>
      <c r="Y63" s="156">
        <v>37600</v>
      </c>
      <c r="AA63" s="624">
        <v>671</v>
      </c>
      <c r="AB63" s="625">
        <v>754</v>
      </c>
      <c r="AC63" s="625">
        <v>956</v>
      </c>
      <c r="AD63" s="625">
        <v>1231</v>
      </c>
      <c r="AE63" s="626">
        <v>1344</v>
      </c>
      <c r="AF63" s="72" t="str">
        <f t="shared" si="4"/>
        <v xml:space="preserve">Washington County </v>
      </c>
    </row>
    <row r="64" spans="2:32">
      <c r="B64" s="34"/>
      <c r="C64" s="11"/>
      <c r="D64" s="11"/>
      <c r="E64" s="11"/>
      <c r="F64" s="35"/>
      <c r="W64" s="152" t="s">
        <v>277</v>
      </c>
      <c r="X64" s="153">
        <f t="shared" si="3"/>
        <v>76400</v>
      </c>
      <c r="Y64" s="154">
        <v>38200</v>
      </c>
      <c r="AA64" s="621">
        <v>668</v>
      </c>
      <c r="AB64" s="622">
        <v>775</v>
      </c>
      <c r="AC64" s="622">
        <v>972</v>
      </c>
      <c r="AD64" s="622">
        <v>1211</v>
      </c>
      <c r="AE64" s="623">
        <v>1317</v>
      </c>
      <c r="AF64" s="72" t="str">
        <f t="shared" si="4"/>
        <v xml:space="preserve">Wayne County </v>
      </c>
    </row>
    <row r="65" spans="2:32">
      <c r="B65" s="638">
        <v>0.6</v>
      </c>
      <c r="C65" s="170" t="s">
        <v>287</v>
      </c>
      <c r="D65" s="640" t="e">
        <f>IF($B$65=50%,CEILING(MROUND(MROUND($B$59*50%,50)*$B$65/50%,50)*C82,50),CEILING(MROUND($B$59*50%,50)*C82,50)*$B$65/50%)</f>
        <v>#N/A</v>
      </c>
      <c r="E65" s="127" t="s">
        <v>284</v>
      </c>
      <c r="F65" s="35"/>
      <c r="W65" s="155" t="s">
        <v>278</v>
      </c>
      <c r="X65" s="38">
        <f t="shared" si="3"/>
        <v>125800</v>
      </c>
      <c r="Y65" s="156">
        <v>62900</v>
      </c>
      <c r="AA65" s="624">
        <v>1399</v>
      </c>
      <c r="AB65" s="625">
        <v>1641</v>
      </c>
      <c r="AC65" s="625">
        <v>1975</v>
      </c>
      <c r="AD65" s="625">
        <v>2543</v>
      </c>
      <c r="AE65" s="626">
        <v>2855</v>
      </c>
      <c r="AF65" s="72" t="str">
        <f t="shared" si="4"/>
        <v xml:space="preserve">Westchester County </v>
      </c>
    </row>
    <row r="66" spans="2:32">
      <c r="B66" s="34"/>
      <c r="C66" s="11"/>
      <c r="D66" s="11"/>
      <c r="E66" s="11"/>
      <c r="F66" s="643" t="s">
        <v>303</v>
      </c>
      <c r="W66" s="152" t="s">
        <v>279</v>
      </c>
      <c r="X66" s="153">
        <f t="shared" si="3"/>
        <v>70700</v>
      </c>
      <c r="Y66" s="154">
        <v>35350</v>
      </c>
      <c r="AA66" s="621">
        <v>486</v>
      </c>
      <c r="AB66" s="622">
        <v>570</v>
      </c>
      <c r="AC66" s="622">
        <v>738</v>
      </c>
      <c r="AD66" s="622">
        <v>971</v>
      </c>
      <c r="AE66" s="623">
        <v>1000</v>
      </c>
      <c r="AF66" s="72" t="str">
        <f t="shared" si="4"/>
        <v xml:space="preserve">Wyoming County </v>
      </c>
    </row>
    <row r="67" spans="2:32" ht="16.5" thickBot="1">
      <c r="B67" s="171"/>
      <c r="C67" s="172"/>
      <c r="D67" s="172"/>
      <c r="E67" s="172"/>
      <c r="F67" s="173" t="s">
        <v>288</v>
      </c>
      <c r="W67" s="188" t="s">
        <v>280</v>
      </c>
      <c r="X67" s="189">
        <f t="shared" si="3"/>
        <v>70600</v>
      </c>
      <c r="Y67" s="190">
        <v>35300</v>
      </c>
      <c r="AA67" s="627">
        <v>533</v>
      </c>
      <c r="AB67" s="628">
        <v>644</v>
      </c>
      <c r="AC67" s="628">
        <v>775</v>
      </c>
      <c r="AD67" s="628">
        <v>1046</v>
      </c>
      <c r="AE67" s="629">
        <v>1050</v>
      </c>
      <c r="AF67" s="72" t="str">
        <f t="shared" si="4"/>
        <v xml:space="preserve">Yates County </v>
      </c>
    </row>
    <row r="68" spans="2:32">
      <c r="B68" s="174"/>
      <c r="C68" s="175"/>
      <c r="D68" s="175"/>
      <c r="E68" s="176"/>
      <c r="F68" s="177"/>
      <c r="W68" s="139" t="s">
        <v>281</v>
      </c>
      <c r="X68" s="140" t="s">
        <v>282</v>
      </c>
      <c r="Y68" s="141" t="s">
        <v>283</v>
      </c>
      <c r="AA68" s="142" t="s">
        <v>62</v>
      </c>
      <c r="AB68" s="143" t="s">
        <v>117</v>
      </c>
      <c r="AC68" s="143" t="s">
        <v>118</v>
      </c>
      <c r="AD68" s="143" t="s">
        <v>119</v>
      </c>
      <c r="AE68" s="144" t="s">
        <v>120</v>
      </c>
    </row>
    <row r="69" spans="2:32">
      <c r="B69" s="178"/>
      <c r="C69" s="179" t="s">
        <v>291</v>
      </c>
      <c r="D69" s="180" t="s">
        <v>292</v>
      </c>
      <c r="E69" s="181" t="s">
        <v>300</v>
      </c>
      <c r="F69" s="182"/>
      <c r="X69" s="9">
        <f>SUM(X6:X67)</f>
        <v>5134200</v>
      </c>
      <c r="Y69" s="9">
        <f>SUM(Y6:Y67)</f>
        <v>2567100</v>
      </c>
    </row>
    <row r="70" spans="2:32">
      <c r="B70" s="183" t="s">
        <v>13</v>
      </c>
      <c r="C70" s="247">
        <v>1</v>
      </c>
      <c r="D70" s="248">
        <f>+IF(C63="Yes",0.6,0.7)</f>
        <v>0.7</v>
      </c>
      <c r="E70" s="641" t="e">
        <f>IF($B$65=50%,CEILING(MROUND(MROUND($B$59*50%,50)*$B$65/50%,50)*D70,50),CEILING(MROUND($B$59*50%,50)*D70,50)*$B$65/50%)</f>
        <v>#N/A</v>
      </c>
      <c r="F70" s="642" t="e">
        <f t="shared" ref="F70:F75" si="7">ROUNDDOWN(E70*$B$61/12,0)</f>
        <v>#N/A</v>
      </c>
    </row>
    <row r="71" spans="2:32">
      <c r="B71" s="183" t="s">
        <v>117</v>
      </c>
      <c r="C71" s="247">
        <v>1.5</v>
      </c>
      <c r="D71" s="248">
        <v>0.75</v>
      </c>
      <c r="E71" s="641" t="e">
        <f>AVERAGE(D79:D80)</f>
        <v>#N/A</v>
      </c>
      <c r="F71" s="642" t="e">
        <f t="shared" si="7"/>
        <v>#N/A</v>
      </c>
    </row>
    <row r="72" spans="2:32">
      <c r="B72" s="183" t="s">
        <v>118</v>
      </c>
      <c r="C72" s="247">
        <v>3</v>
      </c>
      <c r="D72" s="248">
        <v>0.9</v>
      </c>
      <c r="E72" s="641" t="e">
        <f>IF($B$65=50%,CEILING(MROUND(MROUND($B$59*50%,50)*$B$65/50%,50)*D72,50),CEILING(MROUND($B$59*50%,50)*D72,50)*$B$65/50%)</f>
        <v>#N/A</v>
      </c>
      <c r="F72" s="642" t="e">
        <f t="shared" si="7"/>
        <v>#N/A</v>
      </c>
    </row>
    <row r="73" spans="2:32">
      <c r="B73" s="183" t="s">
        <v>119</v>
      </c>
      <c r="C73" s="247">
        <v>4.5</v>
      </c>
      <c r="D73" s="248">
        <v>1.04</v>
      </c>
      <c r="E73" s="641" t="e">
        <f>AVERAGE(D82:D83)</f>
        <v>#N/A</v>
      </c>
      <c r="F73" s="642" t="e">
        <f t="shared" si="7"/>
        <v>#N/A</v>
      </c>
    </row>
    <row r="74" spans="2:32">
      <c r="B74" s="183" t="s">
        <v>120</v>
      </c>
      <c r="C74" s="247">
        <v>6</v>
      </c>
      <c r="D74" s="248">
        <v>1.1599999999999999</v>
      </c>
      <c r="E74" s="641" t="e">
        <f>IF($B$65=50%,CEILING(MROUND(MROUND($B$59*50%,50)*$B$65/50%,50)*D74,50),CEILING(MROUND($B$59*50%,50)*D74,50)*$B$65/50%)</f>
        <v>#N/A</v>
      </c>
      <c r="F74" s="642" t="e">
        <f t="shared" si="7"/>
        <v>#N/A</v>
      </c>
    </row>
    <row r="75" spans="2:32">
      <c r="B75" s="183" t="s">
        <v>304</v>
      </c>
      <c r="C75" s="247">
        <v>7.5</v>
      </c>
      <c r="D75" s="248">
        <f>1.28</f>
        <v>1.28</v>
      </c>
      <c r="E75" s="641" t="e">
        <f>AVERAGE(D85:D86)</f>
        <v>#N/A</v>
      </c>
      <c r="F75" s="642" t="e">
        <f t="shared" si="7"/>
        <v>#N/A</v>
      </c>
    </row>
    <row r="76" spans="2:32">
      <c r="B76" s="34"/>
      <c r="C76" s="11"/>
      <c r="D76" s="11"/>
      <c r="E76" s="11"/>
      <c r="F76" s="35"/>
    </row>
    <row r="77" spans="2:32">
      <c r="B77" s="34"/>
      <c r="C77" s="11"/>
      <c r="D77" s="11"/>
      <c r="E77" s="11"/>
      <c r="F77" s="35"/>
    </row>
    <row r="78" spans="2:32">
      <c r="B78" s="186" t="s">
        <v>289</v>
      </c>
      <c r="C78" s="249" t="s">
        <v>290</v>
      </c>
      <c r="D78" s="249" t="s">
        <v>300</v>
      </c>
      <c r="E78" s="11"/>
      <c r="F78" s="35"/>
    </row>
    <row r="79" spans="2:32">
      <c r="B79" s="187">
        <f t="shared" ref="B79:B85" si="8">B80-1</f>
        <v>1</v>
      </c>
      <c r="C79" s="250">
        <v>0.7</v>
      </c>
      <c r="D79" s="246" t="e">
        <f t="shared" ref="D79:D86" si="9">IF($B$65=50%,CEILING(MROUND(MROUND($B$59*50%,50)*$B$65/50%,50)*C79,50),CEILING(MROUND($B$59*50%,50)*C79,50)*$B$65/50%)</f>
        <v>#N/A</v>
      </c>
      <c r="E79" s="11"/>
      <c r="F79" s="35"/>
    </row>
    <row r="80" spans="2:32">
      <c r="B80" s="187">
        <f t="shared" si="8"/>
        <v>2</v>
      </c>
      <c r="C80" s="250">
        <f>C79+0.1</f>
        <v>0.79999999999999993</v>
      </c>
      <c r="D80" s="246" t="e">
        <f t="shared" si="9"/>
        <v>#N/A</v>
      </c>
      <c r="E80" s="11"/>
      <c r="F80" s="35"/>
    </row>
    <row r="81" spans="1:6">
      <c r="B81" s="187">
        <f t="shared" si="8"/>
        <v>3</v>
      </c>
      <c r="C81" s="250">
        <f>C80+0.1</f>
        <v>0.89999999999999991</v>
      </c>
      <c r="D81" s="246" t="e">
        <f t="shared" si="9"/>
        <v>#N/A</v>
      </c>
      <c r="E81" s="11"/>
      <c r="F81" s="35"/>
    </row>
    <row r="82" spans="1:6">
      <c r="B82" s="187">
        <f t="shared" si="8"/>
        <v>4</v>
      </c>
      <c r="C82" s="250">
        <f>C81+0.1</f>
        <v>0.99999999999999989</v>
      </c>
      <c r="D82" s="246" t="e">
        <f t="shared" si="9"/>
        <v>#N/A</v>
      </c>
      <c r="E82" s="11"/>
      <c r="F82" s="35"/>
    </row>
    <row r="83" spans="1:6">
      <c r="B83" s="187">
        <f t="shared" si="8"/>
        <v>5</v>
      </c>
      <c r="C83" s="250">
        <f>C82+0.08</f>
        <v>1.0799999999999998</v>
      </c>
      <c r="D83" s="246" t="e">
        <f t="shared" si="9"/>
        <v>#N/A</v>
      </c>
      <c r="E83" s="11"/>
      <c r="F83" s="136"/>
    </row>
    <row r="84" spans="1:6">
      <c r="B84" s="187">
        <f t="shared" si="8"/>
        <v>6</v>
      </c>
      <c r="C84" s="250">
        <f>C83+0.08</f>
        <v>1.1599999999999999</v>
      </c>
      <c r="D84" s="246" t="e">
        <f t="shared" si="9"/>
        <v>#N/A</v>
      </c>
      <c r="E84" s="11"/>
      <c r="F84" s="35"/>
    </row>
    <row r="85" spans="1:6">
      <c r="B85" s="187">
        <f t="shared" si="8"/>
        <v>7</v>
      </c>
      <c r="C85" s="250">
        <f>C84+0.08</f>
        <v>1.24</v>
      </c>
      <c r="D85" s="246" t="e">
        <f t="shared" si="9"/>
        <v>#N/A</v>
      </c>
      <c r="E85" s="11"/>
      <c r="F85" s="35"/>
    </row>
    <row r="86" spans="1:6" ht="16.5" thickBot="1">
      <c r="B86" s="194">
        <v>8</v>
      </c>
      <c r="C86" s="195">
        <f>C85+0.08</f>
        <v>1.32</v>
      </c>
      <c r="D86" s="196" t="e">
        <f t="shared" si="9"/>
        <v>#N/A</v>
      </c>
      <c r="E86" s="40"/>
      <c r="F86" s="41"/>
    </row>
    <row r="87" spans="1:6">
      <c r="A87" s="637"/>
    </row>
  </sheetData>
  <sheetProtection algorithmName="SHA-512" hashValue="MhvGI0eAFVchFNl/2JauE0P6PSeCba4OXwwAYAoSjJYL2y4e37D3NIIgYL79tqNdo2w2Rmsg5KKqsrdUhoYFcg==" saltValue="u+Q/UcJYLpqPYo3FfmL6Nw==" spinCount="100000" sheet="1" objects="1" scenarios="1"/>
  <mergeCells count="1">
    <mergeCell ref="B57:C57"/>
  </mergeCells>
  <conditionalFormatting sqref="D70">
    <cfRule type="expression" dxfId="0" priority="1">
      <formula>D70&lt;0.7</formula>
    </cfRule>
  </conditionalFormatting>
  <dataValidations disablePrompts="1" count="1">
    <dataValidation type="decimal" allowBlank="1" showInputMessage="1" showErrorMessage="1" sqref="B65" xr:uid="{54EFDF0C-4054-4398-A12B-F782434B5ACD}">
      <formula1>0.25</formula1>
      <formula2>2</formula2>
    </dataValidation>
  </dataValidations>
  <pageMargins left="0.7" right="0.7" top="0.75" bottom="0.25" header="0.3" footer="0.3"/>
  <pageSetup scale="53"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Sheet3">
    <pageSetUpPr fitToPage="1"/>
  </sheetPr>
  <dimension ref="A1:I83"/>
  <sheetViews>
    <sheetView zoomScaleNormal="100" workbookViewId="0"/>
  </sheetViews>
  <sheetFormatPr defaultColWidth="9.88671875" defaultRowHeight="15.75"/>
  <cols>
    <col min="1" max="1" width="2.6640625" style="1" customWidth="1"/>
    <col min="2" max="2" width="12.6640625" style="1" customWidth="1"/>
    <col min="3" max="3" width="27.5546875" style="1" customWidth="1"/>
    <col min="4" max="4" width="14.5546875" style="219" customWidth="1"/>
    <col min="5" max="5" width="9.88671875" style="201" bestFit="1" customWidth="1"/>
    <col min="6" max="6" width="8.33203125" style="26" bestFit="1" customWidth="1"/>
    <col min="7" max="7" width="1.109375" style="1" customWidth="1"/>
    <col min="8" max="8" width="13.88671875" style="1" customWidth="1"/>
    <col min="9" max="9" width="12" style="1" customWidth="1"/>
    <col min="10" max="10" width="10.33203125" style="1" customWidth="1"/>
    <col min="11" max="11" width="10.44140625" style="1" customWidth="1"/>
    <col min="12" max="16384" width="9.88671875" style="1"/>
  </cols>
  <sheetData>
    <row r="1" spans="1:9" ht="15" customHeight="1">
      <c r="A1" s="607"/>
      <c r="B1" s="701" t="str">
        <f>'Sources and Uses'!A2</f>
        <v>Project Name:</v>
      </c>
      <c r="C1" s="1470">
        <f>' Project Debt &amp; NOI'!C1</f>
        <v>0</v>
      </c>
      <c r="D1" s="1471"/>
      <c r="E1" s="198"/>
      <c r="F1" s="199"/>
      <c r="G1" s="2"/>
    </row>
    <row r="2" spans="1:9" ht="15" customHeight="1">
      <c r="B2" s="701" t="str">
        <f>'Sources and Uses'!A3</f>
        <v>Applicant:</v>
      </c>
      <c r="C2" s="1470">
        <f>' Project Debt &amp; NOI'!C2</f>
        <v>0</v>
      </c>
      <c r="D2" s="1471"/>
      <c r="G2" s="2"/>
    </row>
    <row r="3" spans="1:9" ht="15" customHeight="1">
      <c r="B3" s="701" t="str">
        <f>'Sources and Uses'!A4</f>
        <v>Project County:</v>
      </c>
      <c r="C3" s="220">
        <f>' Project Debt &amp; NOI'!C3</f>
        <v>0</v>
      </c>
      <c r="D3" s="200"/>
      <c r="G3" s="2"/>
    </row>
    <row r="4" spans="1:9" ht="15" customHeight="1">
      <c r="A4" s="264"/>
      <c r="B4" s="297" t="s">
        <v>188</v>
      </c>
      <c r="C4" s="297"/>
      <c r="D4" s="202"/>
      <c r="E4" s="203"/>
      <c r="F4" s="204"/>
      <c r="G4" s="608"/>
      <c r="H4" s="264"/>
    </row>
    <row r="5" spans="1:9" ht="15.6" customHeight="1">
      <c r="A5" s="264"/>
      <c r="B5" s="1452"/>
      <c r="C5" s="1453"/>
      <c r="D5" s="205" t="s">
        <v>201</v>
      </c>
      <c r="E5" s="609" t="s">
        <v>202</v>
      </c>
      <c r="F5" s="206" t="s">
        <v>134</v>
      </c>
      <c r="G5" s="608"/>
      <c r="H5" s="264"/>
    </row>
    <row r="6" spans="1:9">
      <c r="A6" s="264"/>
      <c r="B6" s="1454" t="s">
        <v>189</v>
      </c>
      <c r="C6" s="1455"/>
      <c r="D6" s="207">
        <f>'Units &amp; Income'!C16</f>
        <v>0</v>
      </c>
      <c r="E6" s="610"/>
      <c r="F6" s="208"/>
      <c r="G6" s="611" t="s">
        <v>34</v>
      </c>
      <c r="H6" s="264"/>
    </row>
    <row r="7" spans="1:9">
      <c r="A7" s="264"/>
      <c r="B7" s="1472" t="s">
        <v>209</v>
      </c>
      <c r="C7" s="1473"/>
      <c r="D7" s="738">
        <f>'Units &amp; Income'!J95</f>
        <v>0</v>
      </c>
      <c r="E7" s="739" t="e">
        <f>D7/D6</f>
        <v>#DIV/0!</v>
      </c>
      <c r="F7" s="740"/>
      <c r="G7" s="611"/>
      <c r="H7" s="264"/>
    </row>
    <row r="8" spans="1:9">
      <c r="A8" s="264"/>
      <c r="B8" s="1474" t="s">
        <v>213</v>
      </c>
      <c r="C8" s="1475"/>
      <c r="D8" s="741"/>
      <c r="E8" s="742"/>
      <c r="F8" s="743"/>
      <c r="G8" s="608"/>
      <c r="H8" s="295"/>
      <c r="I8" s="87"/>
    </row>
    <row r="9" spans="1:9">
      <c r="A9" s="264"/>
      <c r="B9" s="1468">
        <f>'Units &amp; Income'!H10</f>
        <v>0</v>
      </c>
      <c r="C9" s="1469"/>
      <c r="D9" s="207">
        <f>'Units &amp; Income'!I10</f>
        <v>0</v>
      </c>
      <c r="E9" s="211" t="e">
        <f>'Units &amp; Income'!J10</f>
        <v>#DIV/0!</v>
      </c>
      <c r="F9" s="208"/>
      <c r="G9" s="608"/>
      <c r="H9" s="295"/>
    </row>
    <row r="10" spans="1:9">
      <c r="A10" s="264"/>
      <c r="B10" s="1468">
        <f>'Units &amp; Income'!H11</f>
        <v>0</v>
      </c>
      <c r="C10" s="1469"/>
      <c r="D10" s="207">
        <f>'Units &amp; Income'!I11</f>
        <v>0</v>
      </c>
      <c r="E10" s="211" t="e">
        <f>'Units &amp; Income'!J11</f>
        <v>#DIV/0!</v>
      </c>
      <c r="F10" s="208"/>
      <c r="G10" s="608"/>
      <c r="H10" s="267"/>
    </row>
    <row r="11" spans="1:9">
      <c r="A11" s="264"/>
      <c r="B11" s="1468">
        <f>'Units &amp; Income'!H12</f>
        <v>0</v>
      </c>
      <c r="C11" s="1469"/>
      <c r="D11" s="207">
        <f>'Units &amp; Income'!I12</f>
        <v>0</v>
      </c>
      <c r="E11" s="211" t="e">
        <f>'Units &amp; Income'!J12</f>
        <v>#DIV/0!</v>
      </c>
      <c r="F11" s="208"/>
      <c r="G11" s="608"/>
      <c r="H11" s="264"/>
    </row>
    <row r="12" spans="1:9">
      <c r="A12" s="264"/>
      <c r="B12" s="1468">
        <f>'Units &amp; Income'!H13</f>
        <v>0</v>
      </c>
      <c r="C12" s="1469"/>
      <c r="D12" s="207">
        <f>'Units &amp; Income'!I13</f>
        <v>0</v>
      </c>
      <c r="E12" s="211" t="e">
        <f>'Units &amp; Income'!J13</f>
        <v>#DIV/0!</v>
      </c>
      <c r="F12" s="208"/>
      <c r="G12" s="608"/>
      <c r="H12" s="264"/>
    </row>
    <row r="13" spans="1:9">
      <c r="A13" s="264"/>
      <c r="B13" s="1468">
        <f>'Units &amp; Income'!H14</f>
        <v>0</v>
      </c>
      <c r="C13" s="1469"/>
      <c r="D13" s="207">
        <f>'Units &amp; Income'!I14</f>
        <v>0</v>
      </c>
      <c r="E13" s="211" t="e">
        <f>'Units &amp; Income'!J14</f>
        <v>#DIV/0!</v>
      </c>
      <c r="F13" s="208"/>
      <c r="G13" s="608"/>
      <c r="H13" s="264"/>
    </row>
    <row r="14" spans="1:9">
      <c r="A14" s="264"/>
      <c r="B14" s="1468">
        <f>'Units &amp; Income'!H15</f>
        <v>0</v>
      </c>
      <c r="C14" s="1469"/>
      <c r="D14" s="207">
        <f>'Units &amp; Income'!I15</f>
        <v>0</v>
      </c>
      <c r="E14" s="211" t="e">
        <f>'Units &amp; Income'!J15</f>
        <v>#DIV/0!</v>
      </c>
      <c r="F14" s="208"/>
      <c r="G14" s="608"/>
      <c r="H14" s="264"/>
    </row>
    <row r="15" spans="1:9">
      <c r="A15" s="264"/>
      <c r="B15" s="1468">
        <f>'Units &amp; Income'!H16</f>
        <v>0</v>
      </c>
      <c r="C15" s="1469"/>
      <c r="D15" s="207">
        <f>'Units &amp; Income'!I16</f>
        <v>0</v>
      </c>
      <c r="E15" s="211" t="e">
        <f>'Units &amp; Income'!J16</f>
        <v>#DIV/0!</v>
      </c>
      <c r="F15" s="208"/>
      <c r="G15" s="608"/>
      <c r="H15" s="264"/>
    </row>
    <row r="16" spans="1:9">
      <c r="A16" s="264"/>
      <c r="B16" s="1458">
        <f>'Units &amp; Income'!H17</f>
        <v>0</v>
      </c>
      <c r="C16" s="1459"/>
      <c r="D16" s="412">
        <f>'Units &amp; Income'!I17</f>
        <v>0</v>
      </c>
      <c r="E16" s="747" t="e">
        <f>'Units &amp; Income'!J17</f>
        <v>#DIV/0!</v>
      </c>
      <c r="F16" s="379"/>
      <c r="G16" s="608"/>
      <c r="H16" s="264"/>
    </row>
    <row r="17" spans="1:8">
      <c r="A17" s="264"/>
      <c r="B17" s="1460" t="s">
        <v>191</v>
      </c>
      <c r="C17" s="1461"/>
      <c r="D17" s="749">
        <f>'Units &amp; Income'!C9</f>
        <v>0</v>
      </c>
      <c r="E17" s="750" t="e">
        <f>'Units &amp; Income'!B9</f>
        <v>#DIV/0!</v>
      </c>
      <c r="F17" s="751"/>
      <c r="G17" s="608"/>
      <c r="H17" s="264"/>
    </row>
    <row r="18" spans="1:8">
      <c r="A18" s="264"/>
      <c r="B18" s="1462" t="s">
        <v>192</v>
      </c>
      <c r="C18" s="1463"/>
      <c r="D18" s="752">
        <f>'Units &amp; Income'!C10</f>
        <v>0</v>
      </c>
      <c r="E18" s="753" t="e">
        <f>'Units &amp; Income'!B10</f>
        <v>#DIV/0!</v>
      </c>
      <c r="F18" s="754"/>
      <c r="G18" s="608"/>
      <c r="H18" s="264"/>
    </row>
    <row r="19" spans="1:8">
      <c r="A19" s="264"/>
      <c r="B19" s="1462" t="s">
        <v>193</v>
      </c>
      <c r="C19" s="1463"/>
      <c r="D19" s="752">
        <f>'Units &amp; Income'!C11</f>
        <v>0</v>
      </c>
      <c r="E19" s="753" t="e">
        <f>'Units &amp; Income'!B11</f>
        <v>#DIV/0!</v>
      </c>
      <c r="F19" s="754"/>
      <c r="G19" s="6"/>
      <c r="H19" s="264"/>
    </row>
    <row r="20" spans="1:8">
      <c r="A20" s="264"/>
      <c r="B20" s="1462" t="s">
        <v>194</v>
      </c>
      <c r="C20" s="1463"/>
      <c r="D20" s="752">
        <f>'Units &amp; Income'!C12</f>
        <v>0</v>
      </c>
      <c r="E20" s="753" t="e">
        <f>'Units &amp; Income'!B12</f>
        <v>#DIV/0!</v>
      </c>
      <c r="F20" s="755"/>
      <c r="G20" s="608"/>
      <c r="H20" s="264"/>
    </row>
    <row r="21" spans="1:8">
      <c r="A21" s="264"/>
      <c r="B21" s="1464" t="s">
        <v>197</v>
      </c>
      <c r="C21" s="1465"/>
      <c r="D21" s="756">
        <f>'Units &amp; Income'!C13</f>
        <v>0</v>
      </c>
      <c r="E21" s="757" t="e">
        <f>'Units &amp; Income'!B13</f>
        <v>#DIV/0!</v>
      </c>
      <c r="F21" s="758"/>
      <c r="G21" s="608"/>
      <c r="H21" s="264"/>
    </row>
    <row r="22" spans="1:8">
      <c r="A22" s="264"/>
      <c r="B22" s="1460" t="s">
        <v>190</v>
      </c>
      <c r="C22" s="1461"/>
      <c r="D22" s="749">
        <f>'Units &amp; Income'!C20</f>
        <v>0</v>
      </c>
      <c r="E22" s="759"/>
      <c r="F22" s="751" t="e">
        <f>D22/D6</f>
        <v>#DIV/0!</v>
      </c>
      <c r="G22" s="608"/>
      <c r="H22" s="264"/>
    </row>
    <row r="23" spans="1:8">
      <c r="A23" s="264"/>
      <c r="B23" s="1462" t="s">
        <v>716</v>
      </c>
      <c r="C23" s="1463"/>
      <c r="D23" s="752">
        <f>'Units &amp; Income'!C21</f>
        <v>0</v>
      </c>
      <c r="E23" s="753"/>
      <c r="F23" s="754"/>
      <c r="G23" s="608"/>
      <c r="H23" s="264"/>
    </row>
    <row r="24" spans="1:8" ht="15" customHeight="1">
      <c r="A24" s="264"/>
      <c r="B24" s="1462" t="s">
        <v>720</v>
      </c>
      <c r="C24" s="1463"/>
      <c r="D24" s="752">
        <f>'Units &amp; Income'!C22</f>
        <v>0</v>
      </c>
      <c r="E24" s="753"/>
      <c r="F24" s="754"/>
      <c r="G24" s="608"/>
      <c r="H24" s="264"/>
    </row>
    <row r="25" spans="1:8">
      <c r="A25" s="264"/>
      <c r="B25" s="1466" t="s">
        <v>195</v>
      </c>
      <c r="C25" s="1467"/>
      <c r="D25" s="760">
        <f>'Units &amp; Income'!B30</f>
        <v>0</v>
      </c>
      <c r="E25" s="761"/>
      <c r="F25" s="762"/>
      <c r="G25" s="608"/>
      <c r="H25" s="264"/>
    </row>
    <row r="26" spans="1:8">
      <c r="A26" s="264"/>
      <c r="B26" s="1452" t="s">
        <v>196</v>
      </c>
      <c r="C26" s="1453"/>
      <c r="D26" s="744">
        <f>'Units &amp; Income'!K96</f>
        <v>0</v>
      </c>
      <c r="E26" s="748"/>
      <c r="F26" s="746" t="e">
        <f>D26/D6</f>
        <v>#DIV/0!</v>
      </c>
      <c r="G26" s="608"/>
      <c r="H26" s="264"/>
    </row>
    <row r="27" spans="1:8">
      <c r="A27" s="264"/>
      <c r="B27" s="1454" t="s">
        <v>717</v>
      </c>
      <c r="C27" s="1455"/>
      <c r="D27" s="615"/>
      <c r="E27" s="213">
        <f>' Project Debt &amp; NOI'!D14</f>
        <v>0.05</v>
      </c>
      <c r="F27" s="208"/>
      <c r="G27" s="608"/>
      <c r="H27" s="264"/>
    </row>
    <row r="28" spans="1:8">
      <c r="A28" s="264"/>
      <c r="B28" s="1454" t="s">
        <v>718</v>
      </c>
      <c r="C28" s="1455"/>
      <c r="D28" s="615"/>
      <c r="E28" s="213">
        <f>'Cash Flow Proforma'!D17</f>
        <v>0.1</v>
      </c>
      <c r="F28" s="208"/>
      <c r="G28" s="608"/>
      <c r="H28" s="264"/>
    </row>
    <row r="29" spans="1:8">
      <c r="A29" s="264"/>
      <c r="B29" s="1454" t="s">
        <v>721</v>
      </c>
      <c r="C29" s="1455"/>
      <c r="D29" s="615"/>
      <c r="E29" s="213">
        <f>'Cash Flow Proforma'!D18</f>
        <v>0.1</v>
      </c>
      <c r="F29" s="208"/>
      <c r="G29" s="608"/>
      <c r="H29" s="264"/>
    </row>
    <row r="30" spans="1:8">
      <c r="A30" s="264"/>
      <c r="B30" s="1454" t="s">
        <v>722</v>
      </c>
      <c r="C30" s="1455"/>
      <c r="D30" s="615"/>
      <c r="E30" s="213" t="e">
        <f>'Units &amp; Income'!E41</f>
        <v>#DIV/0!</v>
      </c>
      <c r="F30" s="208"/>
      <c r="G30" s="608"/>
      <c r="H30" s="264"/>
    </row>
    <row r="31" spans="1:8">
      <c r="A31" s="264"/>
      <c r="B31" s="1454" t="s">
        <v>198</v>
      </c>
      <c r="C31" s="1455"/>
      <c r="D31" s="207">
        <f>'Operating Expenses '!G58</f>
        <v>0</v>
      </c>
      <c r="E31" s="610"/>
      <c r="F31" s="214" t="e">
        <f>'Operating Expenses '!C58</f>
        <v>#DIV/0!</v>
      </c>
      <c r="G31" s="608"/>
      <c r="H31" s="264"/>
    </row>
    <row r="32" spans="1:8">
      <c r="A32" s="264"/>
      <c r="B32" s="1456" t="s">
        <v>199</v>
      </c>
      <c r="C32" s="1457"/>
      <c r="D32" s="209">
        <f>' Project Debt &amp; NOI'!E24</f>
        <v>0</v>
      </c>
      <c r="E32" s="612"/>
      <c r="F32" s="210" t="e">
        <f>D32/D6</f>
        <v>#DIV/0!</v>
      </c>
      <c r="G32" s="608"/>
      <c r="H32" s="264"/>
    </row>
    <row r="33" spans="1:8">
      <c r="A33" s="264"/>
      <c r="B33" s="1452" t="s">
        <v>200</v>
      </c>
      <c r="C33" s="1453"/>
      <c r="D33" s="209">
        <f>' Project Debt &amp; NOI'!D34</f>
        <v>0</v>
      </c>
      <c r="E33" s="613"/>
      <c r="F33" s="212"/>
      <c r="G33" s="608"/>
      <c r="H33" s="560"/>
    </row>
    <row r="34" spans="1:8">
      <c r="A34" s="264"/>
      <c r="B34" s="1452" t="s">
        <v>211</v>
      </c>
      <c r="C34" s="1453"/>
      <c r="D34" s="763" t="e">
        <f>'Cash Flow Proforma'!E51</f>
        <v>#DIV/0!</v>
      </c>
      <c r="E34" s="745"/>
      <c r="F34" s="764"/>
      <c r="G34" s="608"/>
      <c r="H34" s="560"/>
    </row>
    <row r="35" spans="1:8">
      <c r="A35" s="264"/>
      <c r="B35" s="1454" t="s">
        <v>212</v>
      </c>
      <c r="C35" s="1455"/>
      <c r="D35" s="215" t="str">
        <f>'Cash Flow Proforma'!E52</f>
        <v xml:space="preserve"> </v>
      </c>
      <c r="E35" s="610"/>
      <c r="F35" s="216"/>
      <c r="G35" s="608"/>
      <c r="H35" s="264"/>
    </row>
    <row r="36" spans="1:8">
      <c r="A36" s="264"/>
      <c r="B36" s="1454" t="s">
        <v>203</v>
      </c>
      <c r="C36" s="1455"/>
      <c r="D36" s="217"/>
      <c r="E36" s="614">
        <f>'Cash Flow Proforma'!D7</f>
        <v>0.02</v>
      </c>
      <c r="F36" s="216"/>
      <c r="G36" s="608"/>
      <c r="H36" s="264"/>
    </row>
    <row r="37" spans="1:8">
      <c r="A37" s="264"/>
      <c r="B37" s="1454" t="s">
        <v>805</v>
      </c>
      <c r="C37" s="1455"/>
      <c r="D37" s="207"/>
      <c r="E37" s="614">
        <f>'Cash Flow Proforma'!D29</f>
        <v>0.03</v>
      </c>
      <c r="F37" s="216"/>
      <c r="G37" s="608"/>
      <c r="H37" s="264"/>
    </row>
    <row r="38" spans="1:8">
      <c r="A38" s="264"/>
      <c r="B38" s="1454" t="s">
        <v>723</v>
      </c>
      <c r="C38" s="1455"/>
      <c r="D38" s="207"/>
      <c r="E38" s="614">
        <f>'Cash Flow Proforma'!D32</f>
        <v>0.02</v>
      </c>
      <c r="F38" s="216"/>
      <c r="G38" s="608"/>
      <c r="H38" s="264"/>
    </row>
    <row r="39" spans="1:8">
      <c r="A39" s="264"/>
      <c r="B39" s="1456" t="s">
        <v>204</v>
      </c>
      <c r="C39" s="1457"/>
      <c r="D39" s="209">
        <f>'Cash Flow Proforma'!C49</f>
        <v>0</v>
      </c>
      <c r="E39" s="612"/>
      <c r="F39" s="218" t="e">
        <f>D39/D6</f>
        <v>#DIV/0!</v>
      </c>
      <c r="G39" s="608"/>
      <c r="H39" s="264"/>
    </row>
    <row r="40" spans="1:8">
      <c r="A40" s="264"/>
      <c r="B40" s="1452">
        <f>'Sources and Uses'!A25</f>
        <v>0</v>
      </c>
      <c r="C40" s="1453"/>
      <c r="D40" s="744">
        <f>'Sources and Uses'!C25</f>
        <v>0</v>
      </c>
      <c r="E40" s="748" t="e">
        <f>'Sources and Uses'!J25</f>
        <v>#DIV/0!</v>
      </c>
      <c r="F40" s="765" t="e">
        <f>'Sources and Uses'!I25</f>
        <v>#DIV/0!</v>
      </c>
      <c r="G40" s="264"/>
      <c r="H40" s="264"/>
    </row>
    <row r="41" spans="1:8">
      <c r="A41" s="264"/>
      <c r="B41" s="1454">
        <f>'Sources and Uses'!A26</f>
        <v>0</v>
      </c>
      <c r="C41" s="1455"/>
      <c r="D41" s="207">
        <f>'Sources and Uses'!C26</f>
        <v>0</v>
      </c>
      <c r="E41" s="610" t="e">
        <f>'Sources and Uses'!J26</f>
        <v>#DIV/0!</v>
      </c>
      <c r="F41" s="216" t="e">
        <f>'Sources and Uses'!I26</f>
        <v>#DIV/0!</v>
      </c>
      <c r="G41" s="264"/>
      <c r="H41" s="264"/>
    </row>
    <row r="42" spans="1:8">
      <c r="A42" s="264"/>
      <c r="B42" s="1454">
        <f>'Sources and Uses'!A27</f>
        <v>0</v>
      </c>
      <c r="C42" s="1455"/>
      <c r="D42" s="207">
        <f>'Sources and Uses'!C27</f>
        <v>0</v>
      </c>
      <c r="E42" s="610" t="e">
        <f>'Sources and Uses'!J27</f>
        <v>#DIV/0!</v>
      </c>
      <c r="F42" s="216" t="e">
        <f>'Sources and Uses'!I27</f>
        <v>#DIV/0!</v>
      </c>
      <c r="G42" s="264"/>
      <c r="H42" s="264"/>
    </row>
    <row r="43" spans="1:8">
      <c r="A43" s="264"/>
      <c r="B43" s="1454">
        <f>'Sources and Uses'!A28</f>
        <v>0</v>
      </c>
      <c r="C43" s="1455"/>
      <c r="D43" s="207">
        <f>'Sources and Uses'!C28</f>
        <v>0</v>
      </c>
      <c r="E43" s="610" t="e">
        <f>'Sources and Uses'!J28</f>
        <v>#DIV/0!</v>
      </c>
      <c r="F43" s="216" t="e">
        <f>'Sources and Uses'!I28</f>
        <v>#DIV/0!</v>
      </c>
      <c r="G43" s="264"/>
      <c r="H43" s="264"/>
    </row>
    <row r="44" spans="1:8">
      <c r="A44" s="264"/>
      <c r="B44" s="1454">
        <f>'Sources and Uses'!A29</f>
        <v>0</v>
      </c>
      <c r="C44" s="1455"/>
      <c r="D44" s="207">
        <f>'Sources and Uses'!C29</f>
        <v>0</v>
      </c>
      <c r="E44" s="610" t="e">
        <f>'Sources and Uses'!J29</f>
        <v>#DIV/0!</v>
      </c>
      <c r="F44" s="216" t="e">
        <f>'Sources and Uses'!I29</f>
        <v>#DIV/0!</v>
      </c>
      <c r="G44" s="264"/>
      <c r="H44" s="264"/>
    </row>
    <row r="45" spans="1:8">
      <c r="A45" s="264"/>
      <c r="B45" s="1454" t="str">
        <f>'Sources and Uses'!A30</f>
        <v/>
      </c>
      <c r="C45" s="1455"/>
      <c r="D45" s="207">
        <f>'Sources and Uses'!C30</f>
        <v>0</v>
      </c>
      <c r="E45" s="610" t="e">
        <f>'Sources and Uses'!J30</f>
        <v>#DIV/0!</v>
      </c>
      <c r="F45" s="216" t="e">
        <f>'Sources and Uses'!I30</f>
        <v>#DIV/0!</v>
      </c>
      <c r="G45" s="264"/>
      <c r="H45" s="264"/>
    </row>
    <row r="46" spans="1:8">
      <c r="A46" s="264"/>
      <c r="B46" s="1454" t="str">
        <f>'Sources and Uses'!A31</f>
        <v/>
      </c>
      <c r="C46" s="1455"/>
      <c r="D46" s="207">
        <f>'Sources and Uses'!C31</f>
        <v>0</v>
      </c>
      <c r="E46" s="610" t="e">
        <f>'Sources and Uses'!J31</f>
        <v>#DIV/0!</v>
      </c>
      <c r="F46" s="216" t="e">
        <f>'Sources and Uses'!I31</f>
        <v>#DIV/0!</v>
      </c>
      <c r="G46" s="264"/>
      <c r="H46" s="264"/>
    </row>
    <row r="47" spans="1:8">
      <c r="A47" s="264"/>
      <c r="B47" s="1454">
        <f>'Sources and Uses'!A32</f>
        <v>0</v>
      </c>
      <c r="C47" s="1455"/>
      <c r="D47" s="207">
        <f>'Sources and Uses'!C32</f>
        <v>0</v>
      </c>
      <c r="E47" s="610" t="e">
        <f>'Sources and Uses'!J32</f>
        <v>#DIV/0!</v>
      </c>
      <c r="F47" s="216" t="e">
        <f>'Sources and Uses'!I32</f>
        <v>#DIV/0!</v>
      </c>
      <c r="G47" s="264"/>
      <c r="H47" s="264"/>
    </row>
    <row r="48" spans="1:8">
      <c r="A48" s="264"/>
      <c r="B48" s="1454">
        <f>'Sources and Uses'!A33</f>
        <v>0</v>
      </c>
      <c r="C48" s="1455"/>
      <c r="D48" s="207">
        <f>'Sources and Uses'!C33</f>
        <v>0</v>
      </c>
      <c r="E48" s="610" t="e">
        <f>'Sources and Uses'!J33</f>
        <v>#DIV/0!</v>
      </c>
      <c r="F48" s="216" t="e">
        <f>'Sources and Uses'!I33</f>
        <v>#DIV/0!</v>
      </c>
      <c r="G48" s="264"/>
      <c r="H48" s="264"/>
    </row>
    <row r="49" spans="1:8">
      <c r="A49" s="264"/>
      <c r="B49" s="1454">
        <f>'Sources and Uses'!A34</f>
        <v>0</v>
      </c>
      <c r="C49" s="1455"/>
      <c r="D49" s="207">
        <f>'Sources and Uses'!C34</f>
        <v>0</v>
      </c>
      <c r="E49" s="610" t="e">
        <f>'Sources and Uses'!J34</f>
        <v>#DIV/0!</v>
      </c>
      <c r="F49" s="216" t="e">
        <f>'Sources and Uses'!I34</f>
        <v>#DIV/0!</v>
      </c>
      <c r="G49" s="264"/>
      <c r="H49" s="264"/>
    </row>
    <row r="50" spans="1:8">
      <c r="A50" s="264"/>
      <c r="B50" s="1454">
        <f>'Sources and Uses'!A35</f>
        <v>0</v>
      </c>
      <c r="C50" s="1455"/>
      <c r="D50" s="207">
        <f>'Sources and Uses'!C35</f>
        <v>0</v>
      </c>
      <c r="E50" s="610" t="e">
        <f>'Sources and Uses'!J35</f>
        <v>#DIV/0!</v>
      </c>
      <c r="F50" s="216" t="e">
        <f>'Sources and Uses'!I35</f>
        <v>#DIV/0!</v>
      </c>
      <c r="G50" s="264"/>
      <c r="H50" s="264"/>
    </row>
    <row r="51" spans="1:8">
      <c r="A51" s="264"/>
      <c r="B51" s="1456">
        <f>'Sources and Uses'!A36</f>
        <v>0</v>
      </c>
      <c r="C51" s="1457"/>
      <c r="D51" s="209">
        <f>'Sources and Uses'!C36</f>
        <v>0</v>
      </c>
      <c r="E51" s="612" t="e">
        <f>'Sources and Uses'!J36</f>
        <v>#DIV/0!</v>
      </c>
      <c r="F51" s="218" t="e">
        <f>'Sources and Uses'!I36</f>
        <v>#DIV/0!</v>
      </c>
      <c r="G51" s="264"/>
      <c r="H51" s="264"/>
    </row>
    <row r="52" spans="1:8">
      <c r="A52" s="264"/>
      <c r="B52" s="1452" t="s">
        <v>205</v>
      </c>
      <c r="C52" s="1453"/>
      <c r="D52" s="744">
        <f>'Sources and Uses'!C39</f>
        <v>0</v>
      </c>
      <c r="E52" s="748" t="e">
        <f>'Sources and Uses'!J39</f>
        <v>#DIV/0!</v>
      </c>
      <c r="F52" s="765" t="e">
        <f>'Sources and Uses'!I39</f>
        <v>#DIV/0!</v>
      </c>
      <c r="G52" s="264"/>
      <c r="H52" s="264"/>
    </row>
    <row r="53" spans="1:8">
      <c r="A53" s="264"/>
      <c r="B53" s="1454" t="s">
        <v>206</v>
      </c>
      <c r="C53" s="1455"/>
      <c r="D53" s="207">
        <f>'Sources and Uses'!C40</f>
        <v>0</v>
      </c>
      <c r="E53" s="610" t="e">
        <f>'Sources and Uses'!J40</f>
        <v>#DIV/0!</v>
      </c>
      <c r="F53" s="216" t="e">
        <f>'Sources and Uses'!I40</f>
        <v>#DIV/0!</v>
      </c>
      <c r="G53" s="264"/>
      <c r="H53" s="264"/>
    </row>
    <row r="54" spans="1:8">
      <c r="A54" s="264"/>
      <c r="B54" s="1454" t="s">
        <v>207</v>
      </c>
      <c r="C54" s="1455"/>
      <c r="D54" s="207">
        <f>'Sources and Uses'!C41</f>
        <v>0</v>
      </c>
      <c r="E54" s="610" t="e">
        <f>'Sources and Uses'!J41</f>
        <v>#DIV/0!</v>
      </c>
      <c r="F54" s="216" t="e">
        <f>'Sources and Uses'!I41</f>
        <v>#DIV/0!</v>
      </c>
      <c r="G54" s="264"/>
      <c r="H54" s="264"/>
    </row>
    <row r="55" spans="1:8">
      <c r="A55" s="264"/>
      <c r="B55" s="1454" t="s">
        <v>208</v>
      </c>
      <c r="C55" s="1455"/>
      <c r="D55" s="207">
        <f>'Sources and Uses'!C42</f>
        <v>0</v>
      </c>
      <c r="E55" s="610" t="e">
        <f>'Sources and Uses'!J42</f>
        <v>#DIV/0!</v>
      </c>
      <c r="F55" s="216" t="e">
        <f>'Sources and Uses'!I42</f>
        <v>#DIV/0!</v>
      </c>
      <c r="G55" s="264"/>
      <c r="H55" s="264"/>
    </row>
    <row r="56" spans="1:8">
      <c r="A56" s="264"/>
      <c r="B56" s="1456" t="s">
        <v>133</v>
      </c>
      <c r="C56" s="1457"/>
      <c r="D56" s="209">
        <f>'Sources and Uses'!C43</f>
        <v>0</v>
      </c>
      <c r="E56" s="612" t="e">
        <f>'Sources and Uses'!J43</f>
        <v>#DIV/0!</v>
      </c>
      <c r="F56" s="218" t="e">
        <f>'Sources and Uses'!I43</f>
        <v>#DIV/0!</v>
      </c>
      <c r="G56" s="264"/>
      <c r="H56" s="264"/>
    </row>
    <row r="57" spans="1:8">
      <c r="A57" s="607"/>
      <c r="B57" s="1379"/>
      <c r="C57" s="1378" t="s">
        <v>812</v>
      </c>
      <c r="D57" s="1375">
        <f>'Development Budget'!C77</f>
        <v>0</v>
      </c>
      <c r="E57" s="1376"/>
      <c r="F57" s="1377"/>
    </row>
    <row r="58" spans="1:8">
      <c r="D58" s="1380">
        <f>SUM(D52:D56)</f>
        <v>0</v>
      </c>
    </row>
    <row r="59" spans="1:8">
      <c r="D59" s="26"/>
    </row>
    <row r="60" spans="1:8">
      <c r="D60" s="26"/>
    </row>
    <row r="61" spans="1:8">
      <c r="D61" s="26"/>
    </row>
    <row r="62" spans="1:8">
      <c r="D62" s="26"/>
    </row>
    <row r="63" spans="1:8">
      <c r="D63" s="26"/>
    </row>
    <row r="64" spans="1:8">
      <c r="D64" s="26"/>
    </row>
    <row r="65" spans="4:4">
      <c r="D65" s="26"/>
    </row>
    <row r="66" spans="4:4">
      <c r="D66" s="26"/>
    </row>
    <row r="67" spans="4:4">
      <c r="D67" s="26"/>
    </row>
    <row r="68" spans="4:4">
      <c r="D68" s="26"/>
    </row>
    <row r="69" spans="4:4">
      <c r="D69" s="26"/>
    </row>
    <row r="70" spans="4:4">
      <c r="D70" s="26"/>
    </row>
    <row r="71" spans="4:4">
      <c r="D71" s="26"/>
    </row>
    <row r="72" spans="4:4">
      <c r="D72" s="26"/>
    </row>
    <row r="73" spans="4:4">
      <c r="D73" s="26"/>
    </row>
    <row r="74" spans="4:4">
      <c r="D74" s="26"/>
    </row>
    <row r="75" spans="4:4">
      <c r="D75" s="26"/>
    </row>
    <row r="76" spans="4:4">
      <c r="D76" s="26"/>
    </row>
    <row r="77" spans="4:4">
      <c r="D77" s="26"/>
    </row>
    <row r="78" spans="4:4">
      <c r="D78" s="26"/>
    </row>
    <row r="79" spans="4:4">
      <c r="D79" s="26"/>
    </row>
    <row r="80" spans="4:4">
      <c r="D80" s="26"/>
    </row>
    <row r="81" spans="4:4">
      <c r="D81" s="26"/>
    </row>
    <row r="82" spans="4:4">
      <c r="D82" s="26"/>
    </row>
    <row r="83" spans="4:4">
      <c r="D83" s="26"/>
    </row>
  </sheetData>
  <sheetProtection algorithmName="SHA-512" hashValue="0fbjokYJ+OMfUyyP7c4nKpkjSgpENWrG1il3gqsp0fUE5NJkCS+TpWw9tFadKd5GGdElsevNMXSCssJubIV0HQ==" saltValue="4R51tg3L3UqwOtc4JTaIXg==" spinCount="100000" sheet="1" objects="1" scenarios="1"/>
  <mergeCells count="54">
    <mergeCell ref="B15:C15"/>
    <mergeCell ref="C1:D1"/>
    <mergeCell ref="B5:C5"/>
    <mergeCell ref="B6:C6"/>
    <mergeCell ref="B7:C7"/>
    <mergeCell ref="B8:C8"/>
    <mergeCell ref="B9:C9"/>
    <mergeCell ref="B10:C10"/>
    <mergeCell ref="B11:C11"/>
    <mergeCell ref="B12:C12"/>
    <mergeCell ref="B13:C13"/>
    <mergeCell ref="B14:C14"/>
    <mergeCell ref="C2:D2"/>
    <mergeCell ref="B27:C27"/>
    <mergeCell ref="B16:C16"/>
    <mergeCell ref="B17:C17"/>
    <mergeCell ref="B18:C18"/>
    <mergeCell ref="B19:C19"/>
    <mergeCell ref="B20:C20"/>
    <mergeCell ref="B21:C21"/>
    <mergeCell ref="B22:C22"/>
    <mergeCell ref="B23:C23"/>
    <mergeCell ref="B24:C24"/>
    <mergeCell ref="B25:C25"/>
    <mergeCell ref="B26:C26"/>
    <mergeCell ref="B39:C39"/>
    <mergeCell ref="B28:C28"/>
    <mergeCell ref="B29:C29"/>
    <mergeCell ref="B30:C30"/>
    <mergeCell ref="B31:C31"/>
    <mergeCell ref="B32:C32"/>
    <mergeCell ref="B33:C33"/>
    <mergeCell ref="B34:C34"/>
    <mergeCell ref="B35:C35"/>
    <mergeCell ref="B36:C36"/>
    <mergeCell ref="B37:C37"/>
    <mergeCell ref="B38:C38"/>
    <mergeCell ref="B51:C51"/>
    <mergeCell ref="B40:C40"/>
    <mergeCell ref="B41:C41"/>
    <mergeCell ref="B42:C42"/>
    <mergeCell ref="B43:C43"/>
    <mergeCell ref="B44:C44"/>
    <mergeCell ref="B45:C45"/>
    <mergeCell ref="B46:C46"/>
    <mergeCell ref="B47:C47"/>
    <mergeCell ref="B48:C48"/>
    <mergeCell ref="B49:C49"/>
    <mergeCell ref="B50:C50"/>
    <mergeCell ref="B52:C52"/>
    <mergeCell ref="B53:C53"/>
    <mergeCell ref="B54:C54"/>
    <mergeCell ref="B55:C55"/>
    <mergeCell ref="B56:C56"/>
  </mergeCells>
  <pageMargins left="0.75" right="0.5" top="0.5" bottom="0.25" header="0.5" footer="0.5"/>
  <pageSetup scale="84" firstPageNumber="206" orientation="portrait" useFirstPageNumber="1" r:id="rId1"/>
  <headerFooter alignWithMargins="0">
    <oddHeader>&amp;CAttachment C</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3F200-485C-4817-BC55-27AE9206E9D4}">
  <sheetPr codeName="Sheet8">
    <pageSetUpPr fitToPage="1"/>
  </sheetPr>
  <dimension ref="A1:S260"/>
  <sheetViews>
    <sheetView showGridLines="0" zoomScaleNormal="100" workbookViewId="0">
      <selection activeCell="C1" sqref="C1:E1"/>
    </sheetView>
  </sheetViews>
  <sheetFormatPr defaultColWidth="9.88671875" defaultRowHeight="15.75"/>
  <cols>
    <col min="1" max="1" width="3" style="2" customWidth="1"/>
    <col min="2" max="2" width="8.6640625" style="734" customWidth="1"/>
    <col min="3" max="3" width="29.109375" style="734" customWidth="1"/>
    <col min="4" max="5" width="19.77734375" style="734" customWidth="1"/>
    <col min="6" max="6" width="9.109375" style="1" customWidth="1"/>
    <col min="7" max="7" width="14.109375" style="1" customWidth="1"/>
    <col min="8" max="8" width="16.88671875" style="1" customWidth="1"/>
    <col min="9" max="9" width="11.33203125" style="425" customWidth="1"/>
    <col min="10" max="10" width="23.44140625" style="1" bestFit="1" customWidth="1"/>
    <col min="11" max="11" width="17.44140625" style="2" customWidth="1"/>
    <col min="12" max="12" width="10.88671875" style="1" bestFit="1" customWidth="1"/>
    <col min="13" max="13" width="11" style="1" bestFit="1" customWidth="1"/>
    <col min="14" max="18" width="9.88671875" style="1"/>
    <col min="19" max="16384" width="9.88671875" style="734"/>
  </cols>
  <sheetData>
    <row r="1" spans="1:17" s="1" customFormat="1">
      <c r="A1" s="13"/>
      <c r="B1" s="616" t="s">
        <v>719</v>
      </c>
      <c r="C1" s="1484"/>
      <c r="D1" s="1485"/>
      <c r="E1" s="1485"/>
      <c r="F1" s="13"/>
      <c r="G1" s="2"/>
      <c r="I1" s="425"/>
      <c r="K1" s="2"/>
      <c r="L1" s="7"/>
      <c r="M1" s="7"/>
    </row>
    <row r="2" spans="1:17" s="1" customFormat="1">
      <c r="A2" s="13"/>
      <c r="B2" s="616" t="s">
        <v>743</v>
      </c>
      <c r="C2" s="1484"/>
      <c r="D2" s="1485"/>
      <c r="E2" s="1485"/>
      <c r="F2" s="1096"/>
      <c r="I2" s="425"/>
      <c r="J2" s="916"/>
      <c r="K2" s="917"/>
      <c r="L2" s="918"/>
      <c r="M2" s="918"/>
      <c r="N2" s="14"/>
      <c r="O2" s="14"/>
      <c r="P2" s="14"/>
      <c r="Q2" s="14"/>
    </row>
    <row r="3" spans="1:17" s="1" customFormat="1">
      <c r="A3" s="13"/>
      <c r="B3" s="616" t="s">
        <v>734</v>
      </c>
      <c r="C3" s="1095"/>
      <c r="D3" s="1099" t="s">
        <v>754</v>
      </c>
      <c r="E3" s="1098"/>
      <c r="F3" s="1096"/>
      <c r="G3" s="919"/>
      <c r="H3" s="920"/>
      <c r="I3" s="425"/>
      <c r="J3" s="916"/>
      <c r="K3" s="917"/>
      <c r="L3" s="918"/>
      <c r="M3" s="918"/>
      <c r="N3" s="14"/>
      <c r="O3" s="14"/>
      <c r="P3" s="14"/>
      <c r="Q3" s="14"/>
    </row>
    <row r="4" spans="1:17" s="1" customFormat="1" ht="15.6" customHeight="1">
      <c r="A4" s="2"/>
      <c r="B4" s="921" t="s">
        <v>103</v>
      </c>
      <c r="C4" s="922"/>
      <c r="D4" s="922"/>
      <c r="E4" s="923"/>
      <c r="F4" s="924"/>
      <c r="G4" s="2"/>
      <c r="I4" s="426"/>
      <c r="J4" s="925"/>
      <c r="K4" s="926"/>
      <c r="L4" s="927"/>
      <c r="M4" s="927"/>
    </row>
    <row r="5" spans="1:17" ht="15.6" customHeight="1">
      <c r="B5" s="928" t="s">
        <v>49</v>
      </c>
      <c r="C5" s="929"/>
      <c r="D5" s="930"/>
      <c r="E5" s="931"/>
      <c r="F5" s="2"/>
      <c r="G5" s="2"/>
      <c r="K5" s="932"/>
      <c r="L5" s="933"/>
    </row>
    <row r="6" spans="1:17" ht="15.6" customHeight="1">
      <c r="B6" s="934" t="s">
        <v>40</v>
      </c>
      <c r="C6" s="935"/>
      <c r="D6" s="936"/>
      <c r="E6" s="937">
        <f>'Units &amp; Income'!K91</f>
        <v>0</v>
      </c>
      <c r="F6" s="2"/>
      <c r="G6" s="2"/>
      <c r="K6" s="932"/>
      <c r="L6" s="933"/>
    </row>
    <row r="7" spans="1:17" ht="15.6" customHeight="1">
      <c r="B7" s="934" t="s">
        <v>33</v>
      </c>
      <c r="C7" s="935"/>
      <c r="D7" s="938"/>
      <c r="E7" s="937">
        <f>'Units &amp; Income'!E30</f>
        <v>0</v>
      </c>
      <c r="F7" s="2"/>
      <c r="G7" s="1097"/>
      <c r="J7" s="939"/>
      <c r="K7" s="932"/>
      <c r="L7" s="933"/>
    </row>
    <row r="8" spans="1:17" ht="15.6" customHeight="1">
      <c r="B8" s="940" t="s">
        <v>421</v>
      </c>
      <c r="C8" s="941"/>
      <c r="D8" s="942"/>
      <c r="E8" s="937">
        <f>'Units &amp; Income'!E33</f>
        <v>0</v>
      </c>
      <c r="F8" s="2"/>
      <c r="G8" s="2"/>
      <c r="J8" s="939"/>
      <c r="K8" s="932"/>
      <c r="L8" s="933"/>
    </row>
    <row r="9" spans="1:17" ht="15.6" customHeight="1">
      <c r="B9" s="940" t="s">
        <v>475</v>
      </c>
      <c r="C9" s="941"/>
      <c r="D9" s="942"/>
      <c r="E9" s="937">
        <f>'Units &amp; Income'!E35</f>
        <v>0</v>
      </c>
      <c r="F9" s="2"/>
      <c r="G9" s="2"/>
      <c r="J9" s="939"/>
      <c r="K9" s="932"/>
      <c r="L9" s="933"/>
    </row>
    <row r="10" spans="1:17" ht="15.6" customHeight="1">
      <c r="B10" s="934" t="s">
        <v>6</v>
      </c>
      <c r="C10" s="935"/>
      <c r="D10" s="938"/>
      <c r="E10" s="937">
        <f>'Units &amp; Income'!E38</f>
        <v>0</v>
      </c>
      <c r="F10" s="2"/>
      <c r="G10" s="2"/>
      <c r="K10" s="6"/>
    </row>
    <row r="11" spans="1:17" ht="15.6" customHeight="1">
      <c r="B11" s="943"/>
      <c r="C11" s="944" t="s">
        <v>144</v>
      </c>
      <c r="D11" s="938"/>
      <c r="E11" s="945">
        <f>SUM(E6,E7,E8,E9,E10)</f>
        <v>0</v>
      </c>
      <c r="F11" s="2"/>
      <c r="G11" s="2"/>
      <c r="K11" s="6"/>
    </row>
    <row r="12" spans="1:17" ht="15.6" customHeight="1">
      <c r="B12" s="943"/>
      <c r="C12" s="946"/>
      <c r="D12" s="947"/>
      <c r="E12" s="948"/>
      <c r="F12" s="949"/>
      <c r="G12" s="2"/>
      <c r="K12" s="6"/>
    </row>
    <row r="13" spans="1:17" ht="15.6" customHeight="1">
      <c r="B13" s="950" t="s">
        <v>143</v>
      </c>
      <c r="C13" s="951"/>
      <c r="D13" s="947"/>
      <c r="E13" s="948"/>
      <c r="F13" s="952"/>
      <c r="G13" s="2"/>
      <c r="K13" s="6"/>
    </row>
    <row r="14" spans="1:17" ht="15.6" customHeight="1">
      <c r="B14" s="953" t="s">
        <v>126</v>
      </c>
      <c r="C14" s="954"/>
      <c r="D14" s="955">
        <v>0.05</v>
      </c>
      <c r="E14" s="956">
        <f>D14*-E6</f>
        <v>0</v>
      </c>
      <c r="F14" s="2"/>
      <c r="G14" s="2"/>
      <c r="K14" s="6"/>
    </row>
    <row r="15" spans="1:17" ht="15.6" customHeight="1">
      <c r="B15" s="953" t="s">
        <v>33</v>
      </c>
      <c r="C15" s="954"/>
      <c r="D15" s="955">
        <v>0.05</v>
      </c>
      <c r="E15" s="956">
        <f>D15*-E7</f>
        <v>0</v>
      </c>
      <c r="F15" s="2"/>
      <c r="G15" s="2"/>
      <c r="I15" s="426"/>
      <c r="K15" s="6"/>
    </row>
    <row r="16" spans="1:17" ht="15.6" customHeight="1">
      <c r="B16" s="953" t="s">
        <v>421</v>
      </c>
      <c r="C16" s="954"/>
      <c r="D16" s="955">
        <v>0.1</v>
      </c>
      <c r="E16" s="956">
        <f>-(E8*D16)</f>
        <v>0</v>
      </c>
      <c r="F16" s="2"/>
      <c r="G16" s="2"/>
    </row>
    <row r="17" spans="1:19" ht="15.6" customHeight="1">
      <c r="B17" s="953" t="s">
        <v>475</v>
      </c>
      <c r="C17" s="954"/>
      <c r="D17" s="955">
        <v>0.1</v>
      </c>
      <c r="E17" s="956">
        <f>-(E9*D17)</f>
        <v>0</v>
      </c>
      <c r="F17" s="2"/>
      <c r="G17" s="2"/>
    </row>
    <row r="18" spans="1:19" ht="15.6" customHeight="1">
      <c r="B18" s="957" t="s">
        <v>6</v>
      </c>
      <c r="C18" s="958"/>
      <c r="D18" s="955">
        <v>0.05</v>
      </c>
      <c r="E18" s="956">
        <f>-(D18*E10)</f>
        <v>0</v>
      </c>
      <c r="F18" s="2"/>
      <c r="G18" s="2"/>
      <c r="L18" s="7"/>
      <c r="N18" s="2"/>
    </row>
    <row r="19" spans="1:19" ht="15.6" customHeight="1">
      <c r="B19" s="959"/>
      <c r="C19" s="960" t="s">
        <v>401</v>
      </c>
      <c r="D19" s="961"/>
      <c r="E19" s="945">
        <f>E6+E14</f>
        <v>0</v>
      </c>
      <c r="F19" s="2"/>
      <c r="G19" s="2"/>
    </row>
    <row r="20" spans="1:19" ht="15.6" customHeight="1">
      <c r="B20" s="943"/>
      <c r="C20" s="944" t="s">
        <v>48</v>
      </c>
      <c r="D20" s="962"/>
      <c r="E20" s="945">
        <f>SUM(E7:E10)+SUM(E15:E18)</f>
        <v>0</v>
      </c>
      <c r="F20" s="2"/>
      <c r="G20" s="2"/>
    </row>
    <row r="21" spans="1:19" ht="15.6" customHeight="1">
      <c r="B21" s="963"/>
      <c r="C21" s="964" t="s">
        <v>105</v>
      </c>
      <c r="D21" s="965"/>
      <c r="E21" s="966">
        <f>E19+E20</f>
        <v>0</v>
      </c>
      <c r="F21" s="2"/>
      <c r="G21" s="2"/>
    </row>
    <row r="22" spans="1:19" ht="15.6" customHeight="1">
      <c r="B22" s="963"/>
      <c r="C22" s="967"/>
      <c r="D22" s="968"/>
      <c r="E22" s="969"/>
      <c r="F22" s="2"/>
      <c r="G22" s="2"/>
    </row>
    <row r="23" spans="1:19" ht="15.6" customHeight="1">
      <c r="B23" s="970" t="s">
        <v>145</v>
      </c>
      <c r="C23" s="971"/>
      <c r="D23" s="938"/>
      <c r="E23" s="972">
        <f>'Operating Expenses '!G58</f>
        <v>0</v>
      </c>
      <c r="F23" s="2"/>
      <c r="G23" s="2"/>
    </row>
    <row r="24" spans="1:19" ht="15.6" customHeight="1">
      <c r="B24" s="973" t="s">
        <v>104</v>
      </c>
      <c r="C24" s="974"/>
      <c r="D24" s="975"/>
      <c r="E24" s="976">
        <f>E21-E23</f>
        <v>0</v>
      </c>
      <c r="F24" s="2"/>
      <c r="G24" s="2"/>
      <c r="L24" s="2"/>
      <c r="M24" s="2"/>
      <c r="N24" s="2"/>
      <c r="O24" s="2"/>
      <c r="P24" s="2"/>
      <c r="Q24" s="2"/>
      <c r="R24" s="2"/>
      <c r="S24" s="429"/>
    </row>
    <row r="25" spans="1:19" s="1" customFormat="1" ht="15.6" customHeight="1">
      <c r="A25" s="2"/>
      <c r="B25" s="2"/>
      <c r="C25" s="2"/>
      <c r="I25" s="425"/>
      <c r="K25" s="977"/>
      <c r="L25" s="7"/>
      <c r="M25" s="7"/>
    </row>
    <row r="26" spans="1:19" ht="15.6" customHeight="1">
      <c r="A26" s="13"/>
      <c r="B26" s="978" t="s">
        <v>453</v>
      </c>
      <c r="C26" s="979"/>
      <c r="D26" s="980"/>
      <c r="E26" s="981"/>
      <c r="F26" s="982"/>
      <c r="J26" s="983"/>
      <c r="L26" s="7"/>
      <c r="M26" s="984"/>
    </row>
    <row r="27" spans="1:19" ht="15.6" customHeight="1">
      <c r="A27" s="13"/>
      <c r="B27" s="985"/>
      <c r="C27" s="986" t="s">
        <v>455</v>
      </c>
      <c r="D27" s="1488"/>
      <c r="E27" s="1488"/>
      <c r="F27" s="1489"/>
      <c r="J27" s="983"/>
      <c r="L27" s="5"/>
      <c r="M27" s="5"/>
    </row>
    <row r="28" spans="1:19" ht="15.6" customHeight="1">
      <c r="A28" s="13"/>
      <c r="B28" s="987"/>
      <c r="C28" s="988" t="s">
        <v>405</v>
      </c>
      <c r="D28" s="1346"/>
      <c r="E28" s="989"/>
      <c r="F28" s="990"/>
      <c r="G28" s="2"/>
      <c r="H28" s="2"/>
      <c r="J28" s="5"/>
      <c r="K28" s="6"/>
    </row>
    <row r="29" spans="1:19" ht="15.6" customHeight="1">
      <c r="A29" s="13"/>
      <c r="B29" s="991"/>
      <c r="C29" s="992" t="s">
        <v>47</v>
      </c>
      <c r="D29" s="1216"/>
      <c r="E29" s="993"/>
      <c r="F29" s="990"/>
      <c r="G29" s="2"/>
      <c r="H29" s="2"/>
      <c r="K29" s="994"/>
    </row>
    <row r="30" spans="1:19" ht="15.6" customHeight="1">
      <c r="B30" s="991"/>
      <c r="C30" s="995"/>
      <c r="D30" s="996"/>
      <c r="E30" s="996"/>
      <c r="F30" s="997"/>
      <c r="G30" s="2"/>
      <c r="H30" s="2"/>
      <c r="K30" s="994"/>
    </row>
    <row r="31" spans="1:19" ht="15.6" customHeight="1">
      <c r="B31" s="991"/>
      <c r="C31" s="992"/>
      <c r="D31" s="998" t="s">
        <v>43</v>
      </c>
      <c r="E31" s="999" t="s">
        <v>44</v>
      </c>
      <c r="F31" s="990"/>
      <c r="G31" s="2"/>
      <c r="H31" s="2"/>
      <c r="K31" s="994"/>
    </row>
    <row r="32" spans="1:19" ht="15.6" customHeight="1">
      <c r="B32" s="991"/>
      <c r="C32" s="992" t="s">
        <v>45</v>
      </c>
      <c r="D32" s="1000"/>
      <c r="E32" s="1001">
        <f>D32/12</f>
        <v>0</v>
      </c>
      <c r="F32" s="990"/>
      <c r="G32" s="2"/>
      <c r="H32" s="2"/>
    </row>
    <row r="33" spans="1:13" ht="15.6" customHeight="1">
      <c r="B33" s="1002"/>
      <c r="C33" s="1003" t="s">
        <v>416</v>
      </c>
      <c r="D33" s="1004"/>
      <c r="E33" s="1001">
        <f>D33/12</f>
        <v>0</v>
      </c>
      <c r="F33" s="990"/>
      <c r="K33" s="6"/>
    </row>
    <row r="34" spans="1:13" ht="15.6" customHeight="1">
      <c r="B34" s="1005"/>
      <c r="C34" s="1006" t="s">
        <v>417</v>
      </c>
      <c r="D34" s="1007">
        <f>D32+D33</f>
        <v>0</v>
      </c>
      <c r="E34" s="1001">
        <f>SUM(E32:E33)</f>
        <v>0</v>
      </c>
      <c r="F34" s="990"/>
      <c r="G34" s="2"/>
      <c r="H34" s="2"/>
      <c r="K34" s="994"/>
    </row>
    <row r="35" spans="1:13" s="1" customFormat="1" ht="15.6" customHeight="1">
      <c r="A35" s="2"/>
      <c r="B35" s="991"/>
      <c r="C35" s="995"/>
      <c r="D35" s="1008"/>
      <c r="E35" s="996"/>
      <c r="F35" s="997"/>
      <c r="I35" s="425"/>
      <c r="K35" s="2"/>
    </row>
    <row r="36" spans="1:13" ht="15.6" customHeight="1">
      <c r="B36" s="991"/>
      <c r="C36" s="992" t="s">
        <v>456</v>
      </c>
      <c r="D36" s="1216"/>
      <c r="E36" s="993"/>
      <c r="F36" s="990"/>
      <c r="K36" s="6"/>
    </row>
    <row r="37" spans="1:13" ht="15.6" customHeight="1">
      <c r="B37" s="1009"/>
      <c r="C37" s="1010" t="s">
        <v>418</v>
      </c>
      <c r="D37" s="1347">
        <f>D36*D28</f>
        <v>0</v>
      </c>
      <c r="E37" s="1011"/>
      <c r="F37" s="1012"/>
      <c r="I37" s="426"/>
      <c r="K37" s="6"/>
    </row>
    <row r="38" spans="1:13" ht="15.6" customHeight="1">
      <c r="B38" s="1013"/>
      <c r="C38" s="1014" t="s">
        <v>454</v>
      </c>
      <c r="D38" s="1347">
        <f>D37*D29</f>
        <v>0</v>
      </c>
      <c r="E38" s="1015"/>
      <c r="F38" s="1012"/>
      <c r="I38" s="426"/>
      <c r="K38" s="6"/>
    </row>
    <row r="39" spans="1:13" s="1" customFormat="1" ht="15.6" customHeight="1">
      <c r="A39" s="2"/>
      <c r="B39" s="1016"/>
      <c r="C39" s="1017" t="s">
        <v>419</v>
      </c>
      <c r="D39" s="1348">
        <f>D38*E34</f>
        <v>0</v>
      </c>
      <c r="E39" s="1015"/>
      <c r="F39" s="1012"/>
      <c r="I39" s="425"/>
      <c r="K39" s="2"/>
    </row>
    <row r="40" spans="1:13" ht="15.6" customHeight="1">
      <c r="B40" s="991"/>
      <c r="C40" s="992" t="s">
        <v>464</v>
      </c>
      <c r="D40" s="1346"/>
      <c r="E40" s="993"/>
      <c r="F40" s="990"/>
    </row>
    <row r="41" spans="1:13" ht="15.6" customHeight="1">
      <c r="B41" s="991"/>
      <c r="C41" s="992" t="s">
        <v>696</v>
      </c>
      <c r="D41" s="1346"/>
      <c r="E41" s="993"/>
      <c r="F41" s="990"/>
    </row>
    <row r="42" spans="1:13" ht="15.6" customHeight="1">
      <c r="B42" s="1018"/>
      <c r="C42" s="1019" t="s">
        <v>697</v>
      </c>
      <c r="D42" s="1349"/>
      <c r="E42" s="1020"/>
      <c r="F42" s="1021"/>
    </row>
    <row r="43" spans="1:13" ht="15.6" customHeight="1">
      <c r="B43" s="11"/>
      <c r="C43" s="11"/>
    </row>
    <row r="44" spans="1:13" ht="15.6" customHeight="1">
      <c r="B44" s="978" t="s">
        <v>428</v>
      </c>
      <c r="C44" s="1022"/>
      <c r="D44" s="1023"/>
      <c r="E44" s="1024"/>
      <c r="F44" s="1025"/>
    </row>
    <row r="45" spans="1:13" s="1" customFormat="1" ht="15.6" customHeight="1">
      <c r="A45" s="2"/>
      <c r="B45" s="1026"/>
      <c r="C45" s="1027" t="s">
        <v>408</v>
      </c>
      <c r="D45" s="1488"/>
      <c r="E45" s="1488"/>
      <c r="F45" s="1489"/>
      <c r="I45" s="425"/>
      <c r="K45" s="2"/>
    </row>
    <row r="46" spans="1:13" ht="15.6" customHeight="1">
      <c r="B46" s="987"/>
      <c r="C46" s="988" t="s">
        <v>405</v>
      </c>
      <c r="D46" s="1346"/>
      <c r="E46" s="1028"/>
      <c r="F46" s="2"/>
    </row>
    <row r="47" spans="1:13" ht="15.6" customHeight="1">
      <c r="B47" s="991"/>
      <c r="C47" s="992" t="s">
        <v>106</v>
      </c>
      <c r="D47" s="1216"/>
      <c r="E47" s="1029"/>
      <c r="F47" s="2"/>
    </row>
    <row r="48" spans="1:13" s="1" customFormat="1" ht="15.6" customHeight="1">
      <c r="A48" s="2"/>
      <c r="B48" s="991"/>
      <c r="C48" s="992" t="s">
        <v>125</v>
      </c>
      <c r="D48" s="1030"/>
      <c r="E48" s="1031" t="s">
        <v>131</v>
      </c>
      <c r="F48" s="2"/>
      <c r="I48" s="425"/>
      <c r="K48" s="2"/>
      <c r="L48" s="7"/>
      <c r="M48" s="7"/>
    </row>
    <row r="49" spans="1:18" s="11" customFormat="1" ht="15.6" customHeight="1">
      <c r="A49" s="2"/>
      <c r="B49" s="1002"/>
      <c r="C49" s="1003" t="s">
        <v>186</v>
      </c>
      <c r="D49" s="1032">
        <f>IFERROR(PMT(D47/12,D48*12,-D46, 1)*12,0)</f>
        <v>0</v>
      </c>
      <c r="E49" s="1012"/>
      <c r="F49" s="2"/>
      <c r="G49" s="1"/>
      <c r="H49" s="1"/>
      <c r="I49" s="427"/>
      <c r="J49" s="2"/>
      <c r="K49" s="2"/>
      <c r="L49" s="6"/>
      <c r="M49" s="952"/>
      <c r="N49" s="2"/>
      <c r="O49" s="2"/>
      <c r="P49" s="2"/>
      <c r="Q49" s="2"/>
      <c r="R49" s="2"/>
    </row>
    <row r="50" spans="1:18" s="11" customFormat="1" ht="15.6" customHeight="1">
      <c r="A50" s="2"/>
      <c r="B50" s="1033"/>
      <c r="C50" s="1034"/>
      <c r="D50" s="1001" t="s">
        <v>627</v>
      </c>
      <c r="E50" s="1035"/>
      <c r="F50" s="2"/>
      <c r="G50" s="1"/>
      <c r="H50" s="1"/>
      <c r="I50" s="427"/>
      <c r="J50" s="2"/>
      <c r="K50" s="2"/>
      <c r="L50" s="994"/>
      <c r="M50" s="994"/>
      <c r="N50" s="2"/>
      <c r="O50" s="2"/>
      <c r="P50" s="2"/>
      <c r="Q50" s="2"/>
      <c r="R50" s="2"/>
    </row>
    <row r="51" spans="1:18" s="11" customFormat="1" ht="15.6" customHeight="1">
      <c r="A51" s="2"/>
      <c r="B51" s="1036" t="s">
        <v>171</v>
      </c>
      <c r="C51" s="1037"/>
      <c r="D51" s="1038"/>
      <c r="E51" s="1039"/>
      <c r="F51" s="2"/>
      <c r="G51" s="1"/>
      <c r="H51" s="1"/>
      <c r="I51" s="427"/>
      <c r="J51" s="2"/>
      <c r="K51" s="2"/>
      <c r="L51" s="1040"/>
      <c r="M51" s="1040"/>
      <c r="N51" s="2"/>
      <c r="O51" s="2"/>
      <c r="P51" s="2"/>
      <c r="Q51" s="2"/>
      <c r="R51" s="2"/>
    </row>
    <row r="52" spans="1:18" s="11" customFormat="1" ht="15.6" customHeight="1">
      <c r="A52" s="2"/>
      <c r="B52" s="1041" t="s">
        <v>124</v>
      </c>
      <c r="C52" s="1042"/>
      <c r="D52" s="1043"/>
      <c r="E52" s="1044"/>
      <c r="F52" s="2"/>
      <c r="G52" s="1"/>
      <c r="H52" s="1"/>
      <c r="I52" s="427"/>
      <c r="J52" s="2"/>
      <c r="K52" s="2"/>
      <c r="L52" s="1040"/>
      <c r="M52" s="1040"/>
      <c r="N52" s="2"/>
      <c r="O52" s="2"/>
      <c r="P52" s="2"/>
      <c r="Q52" s="2"/>
      <c r="R52" s="2"/>
    </row>
    <row r="53" spans="1:18" s="11" customFormat="1" ht="16.5" customHeight="1">
      <c r="A53" s="2"/>
      <c r="B53" s="1081" t="str">
        <f>B1</f>
        <v>Project Name:</v>
      </c>
      <c r="C53" s="1490">
        <f>C1</f>
        <v>0</v>
      </c>
      <c r="D53" s="1491"/>
      <c r="E53" s="1491"/>
      <c r="F53" s="2"/>
      <c r="G53" s="1"/>
      <c r="H53" s="1"/>
      <c r="I53" s="427"/>
      <c r="J53" s="2"/>
      <c r="K53" s="6"/>
      <c r="L53" s="2"/>
      <c r="M53" s="2"/>
      <c r="N53" s="2"/>
      <c r="O53" s="2"/>
      <c r="P53" s="2"/>
      <c r="Q53" s="2"/>
      <c r="R53" s="2"/>
    </row>
    <row r="54" spans="1:18" s="11" customFormat="1" ht="16.5" customHeight="1">
      <c r="A54" s="2"/>
      <c r="B54" s="1081"/>
      <c r="C54" s="1340"/>
      <c r="D54" s="1341"/>
      <c r="E54" s="1341"/>
      <c r="F54" s="2"/>
      <c r="G54" s="1"/>
      <c r="H54" s="1"/>
      <c r="I54" s="427"/>
      <c r="J54" s="2"/>
      <c r="K54" s="6"/>
      <c r="L54" s="2"/>
      <c r="M54" s="2"/>
      <c r="N54" s="2"/>
      <c r="O54" s="2"/>
      <c r="P54" s="2"/>
      <c r="Q54" s="2"/>
      <c r="R54" s="2"/>
    </row>
    <row r="55" spans="1:18" s="11" customFormat="1" ht="15.6" customHeight="1">
      <c r="A55" s="2"/>
      <c r="B55" s="1046" t="s">
        <v>394</v>
      </c>
      <c r="C55" s="1047"/>
      <c r="D55" s="1048"/>
      <c r="E55" s="1049"/>
      <c r="F55" s="1261"/>
      <c r="G55" s="2"/>
      <c r="H55" s="2"/>
      <c r="I55" s="427"/>
      <c r="J55" s="2"/>
      <c r="K55" s="994"/>
      <c r="L55" s="2"/>
      <c r="M55" s="2"/>
      <c r="N55" s="2"/>
      <c r="O55" s="2"/>
      <c r="P55" s="2"/>
      <c r="Q55" s="2"/>
      <c r="R55" s="2"/>
    </row>
    <row r="56" spans="1:18" s="11" customFormat="1" ht="15.6" customHeight="1">
      <c r="A56" s="2"/>
      <c r="B56" s="1050"/>
      <c r="C56" s="1051" t="s">
        <v>429</v>
      </c>
      <c r="D56" s="1488"/>
      <c r="E56" s="1488"/>
      <c r="F56" s="1489"/>
      <c r="G56" s="2"/>
      <c r="H56" s="2"/>
      <c r="I56" s="427"/>
      <c r="J56" s="2"/>
      <c r="K56" s="994"/>
      <c r="L56" s="2"/>
      <c r="M56" s="2"/>
      <c r="N56" s="2"/>
      <c r="O56" s="2"/>
      <c r="P56" s="2"/>
      <c r="Q56" s="2"/>
      <c r="R56" s="2"/>
    </row>
    <row r="57" spans="1:18" s="11" customFormat="1" ht="15.6" customHeight="1">
      <c r="A57" s="2"/>
      <c r="B57" s="991"/>
      <c r="C57" s="992" t="s">
        <v>395</v>
      </c>
      <c r="D57" s="1346"/>
      <c r="E57" s="1052"/>
      <c r="F57" s="2"/>
      <c r="G57" s="2"/>
      <c r="H57" s="2"/>
      <c r="I57" s="427"/>
      <c r="J57" s="2"/>
      <c r="K57" s="2"/>
      <c r="L57" s="1053"/>
      <c r="M57" s="1053"/>
      <c r="N57" s="2"/>
      <c r="O57" s="2"/>
      <c r="P57" s="2"/>
      <c r="Q57" s="2"/>
      <c r="R57" s="2"/>
    </row>
    <row r="58" spans="1:18" s="2" customFormat="1" ht="15.6" customHeight="1">
      <c r="B58" s="991"/>
      <c r="C58" s="992" t="s">
        <v>396</v>
      </c>
      <c r="D58" s="1216"/>
      <c r="E58" s="1054">
        <f>D57*D58</f>
        <v>0</v>
      </c>
      <c r="I58" s="427"/>
    </row>
    <row r="59" spans="1:18" s="2" customFormat="1" ht="15.6" customHeight="1">
      <c r="B59" s="991"/>
      <c r="C59" s="992" t="s">
        <v>397</v>
      </c>
      <c r="D59" s="1055"/>
      <c r="E59" s="1054"/>
      <c r="I59" s="427"/>
      <c r="L59" s="6"/>
      <c r="M59" s="6"/>
    </row>
    <row r="60" spans="1:18" s="11" customFormat="1" ht="15.6" customHeight="1">
      <c r="A60" s="2"/>
      <c r="B60" s="1056"/>
      <c r="C60" s="1057" t="s">
        <v>398</v>
      </c>
      <c r="D60" s="1216"/>
      <c r="E60" s="1058"/>
      <c r="F60" s="2"/>
      <c r="G60" s="2"/>
      <c r="H60" s="2"/>
      <c r="I60" s="427"/>
      <c r="J60" s="2"/>
      <c r="K60" s="2"/>
      <c r="L60" s="6"/>
      <c r="M60" s="952"/>
      <c r="N60" s="2"/>
      <c r="O60" s="2"/>
      <c r="P60" s="2"/>
      <c r="Q60" s="2"/>
      <c r="R60" s="2"/>
    </row>
    <row r="61" spans="1:18" s="11" customFormat="1" ht="15.6" customHeight="1">
      <c r="A61" s="2"/>
      <c r="B61" s="1056"/>
      <c r="C61" s="1057" t="s">
        <v>399</v>
      </c>
      <c r="D61" s="1216"/>
      <c r="E61" s="1059"/>
      <c r="F61" s="2"/>
      <c r="G61" s="2"/>
      <c r="H61" s="2"/>
      <c r="I61" s="427"/>
      <c r="J61" s="2"/>
      <c r="K61" s="2"/>
      <c r="L61" s="994"/>
      <c r="M61" s="994"/>
      <c r="N61" s="2"/>
      <c r="O61" s="2"/>
      <c r="P61" s="2"/>
      <c r="Q61" s="2"/>
      <c r="R61" s="2"/>
    </row>
    <row r="62" spans="1:18" s="11" customFormat="1" ht="15.6" customHeight="1">
      <c r="A62" s="2"/>
      <c r="B62" s="1056"/>
      <c r="C62" s="1057" t="s">
        <v>8</v>
      </c>
      <c r="D62" s="1060"/>
      <c r="E62" s="1061" t="s">
        <v>131</v>
      </c>
      <c r="F62" s="2"/>
      <c r="G62" s="2"/>
      <c r="H62" s="2"/>
      <c r="I62" s="427"/>
      <c r="J62" s="2"/>
      <c r="K62" s="2"/>
      <c r="L62" s="1040"/>
      <c r="M62" s="1040"/>
      <c r="N62" s="2"/>
      <c r="O62" s="2"/>
      <c r="P62" s="2"/>
      <c r="Q62" s="2"/>
      <c r="R62" s="2"/>
    </row>
    <row r="63" spans="1:18" s="11" customFormat="1" ht="15.6" customHeight="1">
      <c r="A63" s="2"/>
      <c r="B63" s="1062"/>
      <c r="C63" s="1063" t="s">
        <v>482</v>
      </c>
      <c r="D63" s="1064">
        <f>D57*D61</f>
        <v>0</v>
      </c>
      <c r="E63" s="1065"/>
      <c r="F63" s="2"/>
      <c r="G63" s="2"/>
      <c r="H63" s="2"/>
      <c r="I63" s="427"/>
      <c r="J63" s="2"/>
      <c r="K63" s="2"/>
      <c r="L63" s="1040"/>
      <c r="M63" s="1040"/>
      <c r="N63" s="2"/>
      <c r="O63" s="2"/>
      <c r="P63" s="2"/>
      <c r="Q63" s="2"/>
      <c r="R63" s="2"/>
    </row>
    <row r="64" spans="1:18" s="11" customFormat="1" ht="15.6" customHeight="1">
      <c r="A64" s="2"/>
      <c r="F64" s="2"/>
      <c r="G64" s="2"/>
      <c r="H64" s="2"/>
      <c r="I64" s="427"/>
      <c r="J64" s="2"/>
      <c r="K64" s="6"/>
      <c r="L64" s="2"/>
      <c r="M64" s="2"/>
      <c r="N64" s="2"/>
      <c r="O64" s="2"/>
      <c r="P64" s="2"/>
      <c r="Q64" s="2"/>
      <c r="R64" s="2"/>
    </row>
    <row r="65" spans="1:18" s="11" customFormat="1" ht="15.6" customHeight="1">
      <c r="A65" s="2"/>
      <c r="B65" s="1066" t="s">
        <v>400</v>
      </c>
      <c r="C65" s="981"/>
      <c r="D65" s="980"/>
      <c r="E65" s="982"/>
      <c r="F65" s="2"/>
      <c r="G65" s="2"/>
      <c r="H65" s="2"/>
      <c r="I65" s="427"/>
      <c r="J65" s="2"/>
      <c r="K65" s="6"/>
      <c r="L65" s="2"/>
      <c r="M65" s="2"/>
      <c r="N65" s="2"/>
      <c r="O65" s="2"/>
      <c r="P65" s="2"/>
      <c r="Q65" s="2"/>
      <c r="R65" s="2"/>
    </row>
    <row r="66" spans="1:18" s="11" customFormat="1" ht="15.6" customHeight="1">
      <c r="A66" s="2"/>
      <c r="B66" s="1067"/>
      <c r="C66" s="1068" t="s">
        <v>429</v>
      </c>
      <c r="D66" s="1488"/>
      <c r="E66" s="1488"/>
      <c r="F66" s="1489"/>
      <c r="G66" s="2"/>
      <c r="H66" s="2"/>
      <c r="I66" s="427"/>
      <c r="J66" s="2"/>
      <c r="K66" s="994"/>
      <c r="L66" s="2"/>
      <c r="M66" s="2"/>
      <c r="N66" s="2"/>
      <c r="O66" s="2"/>
      <c r="P66" s="2"/>
      <c r="Q66" s="2"/>
      <c r="R66" s="2"/>
    </row>
    <row r="67" spans="1:18" s="429" customFormat="1" ht="15.6" customHeight="1">
      <c r="A67" s="2"/>
      <c r="B67" s="1069"/>
      <c r="C67" s="1070" t="s">
        <v>395</v>
      </c>
      <c r="D67" s="1346"/>
      <c r="E67" s="1071"/>
      <c r="F67" s="2"/>
      <c r="G67" s="2"/>
      <c r="H67" s="2"/>
      <c r="I67" s="427"/>
      <c r="J67" s="2"/>
      <c r="K67" s="994"/>
      <c r="L67" s="2"/>
      <c r="M67" s="2"/>
      <c r="N67" s="2"/>
      <c r="O67" s="2"/>
      <c r="P67" s="2"/>
      <c r="Q67" s="2"/>
      <c r="R67" s="2"/>
    </row>
    <row r="68" spans="1:18" s="11" customFormat="1" ht="15.6" customHeight="1">
      <c r="A68" s="2"/>
      <c r="B68" s="1069"/>
      <c r="C68" s="1070" t="s">
        <v>396</v>
      </c>
      <c r="D68" s="1216"/>
      <c r="E68" s="1072">
        <f>D67*D68</f>
        <v>0</v>
      </c>
      <c r="F68" s="2"/>
      <c r="G68" s="2"/>
      <c r="H68" s="2"/>
      <c r="I68" s="427"/>
      <c r="J68" s="2"/>
      <c r="K68" s="2"/>
      <c r="L68" s="1053"/>
      <c r="M68" s="1053"/>
      <c r="N68" s="2"/>
      <c r="O68" s="2"/>
      <c r="P68" s="2"/>
      <c r="Q68" s="2"/>
      <c r="R68" s="2"/>
    </row>
    <row r="69" spans="1:18" s="2" customFormat="1" ht="15.6" customHeight="1">
      <c r="B69" s="1069"/>
      <c r="C69" s="1070" t="s">
        <v>397</v>
      </c>
      <c r="D69" s="1073"/>
      <c r="E69" s="1072"/>
      <c r="I69" s="427"/>
    </row>
    <row r="70" spans="1:18" s="2" customFormat="1" ht="15.6" customHeight="1">
      <c r="B70" s="1074"/>
      <c r="C70" s="1075" t="s">
        <v>398</v>
      </c>
      <c r="D70" s="1216"/>
      <c r="E70" s="1076"/>
      <c r="I70" s="427"/>
      <c r="L70" s="6"/>
      <c r="M70" s="6"/>
    </row>
    <row r="71" spans="1:18" s="11" customFormat="1" ht="15.6" customHeight="1">
      <c r="A71" s="2"/>
      <c r="B71" s="1074"/>
      <c r="C71" s="1075" t="s">
        <v>399</v>
      </c>
      <c r="D71" s="1216"/>
      <c r="E71" s="1077"/>
      <c r="F71" s="2"/>
      <c r="G71" s="2"/>
      <c r="H71" s="2"/>
      <c r="I71" s="427"/>
      <c r="J71" s="2"/>
      <c r="K71" s="2"/>
      <c r="L71" s="6"/>
      <c r="M71" s="952"/>
      <c r="N71" s="2"/>
      <c r="O71" s="2"/>
      <c r="P71" s="2"/>
      <c r="Q71" s="2"/>
      <c r="R71" s="2"/>
    </row>
    <row r="72" spans="1:18" s="11" customFormat="1" ht="15.6" customHeight="1">
      <c r="A72" s="2"/>
      <c r="B72" s="1074"/>
      <c r="C72" s="1075" t="s">
        <v>8</v>
      </c>
      <c r="D72" s="1078"/>
      <c r="E72" s="1079" t="s">
        <v>131</v>
      </c>
      <c r="F72" s="2"/>
      <c r="G72" s="2"/>
      <c r="H72" s="2"/>
      <c r="I72" s="427"/>
      <c r="J72" s="2"/>
      <c r="K72" s="2"/>
      <c r="L72" s="994"/>
      <c r="M72" s="994"/>
      <c r="N72" s="2"/>
      <c r="O72" s="2"/>
      <c r="P72" s="2"/>
      <c r="Q72" s="2"/>
      <c r="R72" s="2"/>
    </row>
    <row r="73" spans="1:18" s="11" customFormat="1" ht="15.6" customHeight="1">
      <c r="A73" s="2"/>
      <c r="B73" s="1074"/>
      <c r="C73" s="1075" t="s">
        <v>482</v>
      </c>
      <c r="D73" s="1080">
        <f>D67*D71</f>
        <v>0</v>
      </c>
      <c r="E73" s="1079"/>
      <c r="F73" s="2"/>
      <c r="G73" s="2"/>
      <c r="H73" s="2"/>
      <c r="I73" s="427"/>
      <c r="J73" s="2"/>
      <c r="K73" s="2"/>
      <c r="L73" s="1040"/>
      <c r="M73" s="1040"/>
      <c r="N73" s="2"/>
      <c r="O73" s="2"/>
      <c r="P73" s="2"/>
      <c r="Q73" s="2"/>
      <c r="R73" s="2"/>
    </row>
    <row r="74" spans="1:18" s="11" customFormat="1" ht="15.6" customHeight="1">
      <c r="A74" s="2"/>
      <c r="B74" s="1081"/>
      <c r="C74" s="1081"/>
      <c r="D74" s="1045"/>
      <c r="E74" s="1082"/>
      <c r="F74" s="2"/>
      <c r="G74" s="1083"/>
      <c r="H74" s="1084"/>
      <c r="I74" s="427"/>
      <c r="J74" s="2"/>
      <c r="K74" s="2"/>
      <c r="L74" s="1040"/>
      <c r="M74" s="1040"/>
      <c r="N74" s="2"/>
      <c r="O74" s="2"/>
      <c r="P74" s="2"/>
      <c r="Q74" s="2"/>
      <c r="R74" s="2"/>
    </row>
    <row r="75" spans="1:18" s="11" customFormat="1" ht="15.6" customHeight="1">
      <c r="A75" s="2"/>
      <c r="B75" s="1066" t="s">
        <v>402</v>
      </c>
      <c r="C75" s="981"/>
      <c r="D75" s="980"/>
      <c r="E75" s="982"/>
      <c r="F75" s="2"/>
      <c r="G75" s="1083"/>
      <c r="H75" s="1084"/>
      <c r="I75" s="427"/>
      <c r="J75" s="2"/>
      <c r="K75" s="2"/>
      <c r="L75" s="1040"/>
      <c r="M75" s="1040"/>
      <c r="N75" s="2"/>
      <c r="O75" s="2"/>
      <c r="P75" s="2"/>
      <c r="Q75" s="2"/>
      <c r="R75" s="2"/>
    </row>
    <row r="76" spans="1:18" s="11" customFormat="1" ht="15.6" customHeight="1">
      <c r="A76" s="2"/>
      <c r="B76" s="1085"/>
      <c r="C76" s="1086" t="s">
        <v>429</v>
      </c>
      <c r="D76" s="1488"/>
      <c r="E76" s="1488"/>
      <c r="F76" s="1489"/>
      <c r="G76" s="1083"/>
      <c r="H76" s="1084"/>
      <c r="I76" s="427"/>
      <c r="J76" s="2"/>
      <c r="K76" s="2"/>
      <c r="L76" s="1040"/>
      <c r="M76" s="1040"/>
      <c r="N76" s="2"/>
      <c r="O76" s="2"/>
      <c r="P76" s="2"/>
      <c r="Q76" s="2"/>
      <c r="R76" s="2"/>
    </row>
    <row r="77" spans="1:18" s="11" customFormat="1" ht="15.6" customHeight="1">
      <c r="A77" s="2"/>
      <c r="B77" s="991"/>
      <c r="C77" s="992" t="s">
        <v>395</v>
      </c>
      <c r="D77" s="1346"/>
      <c r="E77" s="1087"/>
      <c r="F77" s="2"/>
      <c r="G77" s="1083"/>
      <c r="H77" s="1084"/>
      <c r="I77" s="427"/>
      <c r="J77" s="2"/>
      <c r="K77" s="2"/>
      <c r="L77" s="1040"/>
      <c r="M77" s="1040"/>
      <c r="N77" s="2"/>
      <c r="O77" s="2"/>
      <c r="P77" s="2"/>
      <c r="Q77" s="2"/>
      <c r="R77" s="2"/>
    </row>
    <row r="78" spans="1:18" s="11" customFormat="1" ht="15.6" customHeight="1">
      <c r="A78" s="2"/>
      <c r="B78" s="991"/>
      <c r="C78" s="992" t="s">
        <v>396</v>
      </c>
      <c r="D78" s="1216"/>
      <c r="E78" s="1054">
        <f>D77*D78</f>
        <v>0</v>
      </c>
      <c r="F78" s="2"/>
      <c r="G78" s="1083"/>
      <c r="H78" s="1084"/>
      <c r="I78" s="427"/>
      <c r="J78" s="2"/>
      <c r="K78" s="2"/>
      <c r="L78" s="1040"/>
      <c r="M78" s="1040"/>
      <c r="N78" s="2"/>
      <c r="O78" s="2"/>
      <c r="P78" s="2"/>
      <c r="Q78" s="2"/>
      <c r="R78" s="2"/>
    </row>
    <row r="79" spans="1:18" s="11" customFormat="1" ht="15.6" customHeight="1">
      <c r="A79" s="2"/>
      <c r="B79" s="991"/>
      <c r="C79" s="992" t="s">
        <v>397</v>
      </c>
      <c r="D79" s="1055"/>
      <c r="E79" s="1054"/>
      <c r="F79" s="2"/>
      <c r="G79" s="1083"/>
      <c r="H79" s="1084"/>
      <c r="I79" s="427"/>
      <c r="J79" s="2"/>
      <c r="K79" s="2"/>
      <c r="L79" s="1040"/>
      <c r="M79" s="1040"/>
      <c r="N79" s="2"/>
      <c r="O79" s="2"/>
      <c r="P79" s="2"/>
      <c r="Q79" s="2"/>
      <c r="R79" s="2"/>
    </row>
    <row r="80" spans="1:18" s="11" customFormat="1" ht="15.6" customHeight="1">
      <c r="A80" s="2"/>
      <c r="B80" s="1056"/>
      <c r="C80" s="1057" t="s">
        <v>398</v>
      </c>
      <c r="D80" s="1216"/>
      <c r="E80" s="1058"/>
      <c r="F80" s="2"/>
      <c r="G80" s="1083"/>
      <c r="H80" s="1084"/>
      <c r="I80" s="427"/>
      <c r="J80" s="2"/>
      <c r="K80" s="2"/>
      <c r="L80" s="1040"/>
      <c r="M80" s="1040"/>
      <c r="N80" s="2"/>
      <c r="O80" s="2"/>
      <c r="P80" s="2"/>
      <c r="Q80" s="2"/>
      <c r="R80" s="2"/>
    </row>
    <row r="81" spans="1:18" s="11" customFormat="1" ht="15.6" customHeight="1">
      <c r="A81" s="2"/>
      <c r="B81" s="1056"/>
      <c r="C81" s="1057" t="s">
        <v>399</v>
      </c>
      <c r="D81" s="1216"/>
      <c r="E81" s="1059"/>
      <c r="F81" s="2"/>
      <c r="G81" s="1083"/>
      <c r="H81" s="1084"/>
      <c r="I81" s="427"/>
      <c r="J81" s="2"/>
      <c r="K81" s="2"/>
      <c r="L81" s="1040"/>
      <c r="M81" s="1040"/>
      <c r="N81" s="2"/>
      <c r="O81" s="2"/>
      <c r="P81" s="2"/>
      <c r="Q81" s="2"/>
      <c r="R81" s="2"/>
    </row>
    <row r="82" spans="1:18" s="11" customFormat="1" ht="15.6" customHeight="1">
      <c r="A82" s="2"/>
      <c r="B82" s="1056"/>
      <c r="C82" s="1057" t="s">
        <v>8</v>
      </c>
      <c r="D82" s="1060"/>
      <c r="E82" s="1061" t="s">
        <v>131</v>
      </c>
      <c r="F82" s="2"/>
      <c r="G82" s="1083"/>
      <c r="H82" s="1084"/>
      <c r="I82" s="427"/>
      <c r="J82" s="2"/>
      <c r="K82" s="2"/>
      <c r="L82" s="1040"/>
      <c r="M82" s="1040"/>
      <c r="N82" s="2"/>
      <c r="O82" s="2"/>
      <c r="P82" s="2"/>
      <c r="Q82" s="2"/>
      <c r="R82" s="2"/>
    </row>
    <row r="83" spans="1:18" s="11" customFormat="1" ht="15.6" customHeight="1">
      <c r="A83" s="2"/>
      <c r="B83" s="1062"/>
      <c r="C83" s="1063" t="s">
        <v>482</v>
      </c>
      <c r="D83" s="1064">
        <f>D77*D81</f>
        <v>0</v>
      </c>
      <c r="E83" s="1065"/>
      <c r="F83" s="2"/>
      <c r="G83" s="1083"/>
      <c r="H83" s="1084"/>
      <c r="I83" s="427"/>
      <c r="J83" s="2"/>
      <c r="K83" s="2"/>
      <c r="L83" s="1040"/>
      <c r="M83" s="1040"/>
      <c r="N83" s="2"/>
      <c r="O83" s="2"/>
      <c r="P83" s="2"/>
      <c r="Q83" s="2"/>
      <c r="R83" s="2"/>
    </row>
    <row r="84" spans="1:18" s="11" customFormat="1" ht="15.6" customHeight="1">
      <c r="A84" s="2"/>
      <c r="F84" s="2"/>
      <c r="G84" s="1083"/>
      <c r="H84" s="1084"/>
      <c r="I84" s="427"/>
      <c r="J84" s="2"/>
      <c r="K84" s="2"/>
      <c r="L84" s="1040"/>
      <c r="M84" s="1040"/>
      <c r="N84" s="2"/>
      <c r="O84" s="2"/>
      <c r="P84" s="2"/>
      <c r="Q84" s="2"/>
      <c r="R84" s="2"/>
    </row>
    <row r="85" spans="1:18" s="11" customFormat="1" ht="15.6" customHeight="1">
      <c r="A85" s="2"/>
      <c r="B85" s="1066" t="s">
        <v>403</v>
      </c>
      <c r="C85" s="981"/>
      <c r="D85" s="1088"/>
      <c r="E85" s="1089"/>
      <c r="F85" s="2"/>
      <c r="G85" s="1083"/>
      <c r="H85" s="1084"/>
      <c r="I85" s="427"/>
      <c r="J85" s="2"/>
      <c r="K85" s="2"/>
      <c r="L85" s="1040"/>
      <c r="M85" s="1040"/>
      <c r="N85" s="2"/>
      <c r="O85" s="2"/>
      <c r="P85" s="2"/>
      <c r="Q85" s="2"/>
      <c r="R85" s="2"/>
    </row>
    <row r="86" spans="1:18" s="11" customFormat="1" ht="15.6" customHeight="1">
      <c r="A86" s="2"/>
      <c r="B86" s="1090"/>
      <c r="C86" s="1091" t="s">
        <v>429</v>
      </c>
      <c r="D86" s="1488"/>
      <c r="E86" s="1488"/>
      <c r="F86" s="1489"/>
      <c r="G86" s="1083"/>
      <c r="H86" s="1084"/>
      <c r="I86" s="427"/>
      <c r="J86" s="2"/>
      <c r="K86" s="2"/>
      <c r="L86" s="1040"/>
      <c r="M86" s="1040"/>
      <c r="N86" s="2"/>
      <c r="O86" s="2"/>
      <c r="P86" s="2"/>
      <c r="Q86" s="2"/>
      <c r="R86" s="2"/>
    </row>
    <row r="87" spans="1:18" s="11" customFormat="1" ht="15.6" customHeight="1">
      <c r="A87" s="2"/>
      <c r="B87" s="1092"/>
      <c r="C87" s="1093" t="s">
        <v>395</v>
      </c>
      <c r="D87" s="1346"/>
      <c r="E87" s="1094"/>
      <c r="F87" s="2"/>
      <c r="G87" s="1083"/>
      <c r="H87" s="1084"/>
      <c r="I87" s="427"/>
      <c r="J87" s="2"/>
      <c r="K87" s="2"/>
      <c r="L87" s="1040"/>
      <c r="M87" s="1040"/>
      <c r="N87" s="2"/>
      <c r="O87" s="2"/>
      <c r="P87" s="2"/>
      <c r="Q87" s="2"/>
      <c r="R87" s="2"/>
    </row>
    <row r="88" spans="1:18" s="11" customFormat="1" ht="15.6" customHeight="1">
      <c r="A88" s="2"/>
      <c r="B88" s="991"/>
      <c r="C88" s="992" t="s">
        <v>396</v>
      </c>
      <c r="D88" s="1216"/>
      <c r="E88" s="1054">
        <f>D87*D88</f>
        <v>0</v>
      </c>
      <c r="F88" s="2"/>
      <c r="G88" s="1083"/>
      <c r="H88" s="1084"/>
      <c r="I88" s="427"/>
      <c r="J88" s="2"/>
      <c r="K88" s="2"/>
      <c r="L88" s="1040"/>
      <c r="M88" s="1040"/>
      <c r="N88" s="2"/>
      <c r="O88" s="2"/>
      <c r="P88" s="2"/>
      <c r="Q88" s="2"/>
      <c r="R88" s="2"/>
    </row>
    <row r="89" spans="1:18" s="11" customFormat="1" ht="15.6" customHeight="1">
      <c r="A89" s="2"/>
      <c r="B89" s="991"/>
      <c r="C89" s="992" t="s">
        <v>397</v>
      </c>
      <c r="D89" s="1055"/>
      <c r="E89" s="1054"/>
      <c r="F89" s="2"/>
      <c r="G89" s="1083"/>
      <c r="H89" s="1084"/>
      <c r="I89" s="427"/>
      <c r="J89" s="2"/>
      <c r="K89" s="2"/>
      <c r="L89" s="1040"/>
      <c r="M89" s="1040"/>
      <c r="N89" s="2"/>
      <c r="O89" s="2"/>
      <c r="P89" s="2"/>
      <c r="Q89" s="2"/>
      <c r="R89" s="2"/>
    </row>
    <row r="90" spans="1:18" s="11" customFormat="1" ht="15.6" customHeight="1">
      <c r="A90" s="2"/>
      <c r="B90" s="1056"/>
      <c r="C90" s="1057" t="s">
        <v>398</v>
      </c>
      <c r="D90" s="1216"/>
      <c r="E90" s="1058"/>
      <c r="F90" s="2"/>
      <c r="G90" s="1083"/>
      <c r="H90" s="1084"/>
      <c r="I90" s="427"/>
      <c r="J90" s="2"/>
      <c r="K90" s="2"/>
      <c r="L90" s="1040"/>
      <c r="M90" s="1040"/>
      <c r="N90" s="2"/>
      <c r="O90" s="2"/>
      <c r="P90" s="2"/>
      <c r="Q90" s="2"/>
      <c r="R90" s="2"/>
    </row>
    <row r="91" spans="1:18" s="11" customFormat="1" ht="15.6" customHeight="1">
      <c r="A91" s="2"/>
      <c r="B91" s="1056"/>
      <c r="C91" s="1057" t="s">
        <v>399</v>
      </c>
      <c r="D91" s="1216"/>
      <c r="E91" s="1059"/>
      <c r="F91" s="2"/>
      <c r="G91" s="1083"/>
      <c r="H91" s="1084"/>
      <c r="I91" s="427"/>
      <c r="J91" s="2"/>
      <c r="K91" s="2"/>
      <c r="L91" s="1040"/>
      <c r="M91" s="1040"/>
      <c r="N91" s="2"/>
      <c r="O91" s="2"/>
      <c r="P91" s="2"/>
      <c r="Q91" s="2"/>
      <c r="R91" s="2"/>
    </row>
    <row r="92" spans="1:18" s="11" customFormat="1" ht="15.6" customHeight="1">
      <c r="A92" s="2"/>
      <c r="B92" s="1056"/>
      <c r="C92" s="1057" t="s">
        <v>8</v>
      </c>
      <c r="D92" s="1060"/>
      <c r="E92" s="1061" t="s">
        <v>131</v>
      </c>
      <c r="F92" s="2"/>
      <c r="G92" s="1083"/>
      <c r="H92" s="1084"/>
      <c r="I92" s="427"/>
      <c r="J92" s="2"/>
      <c r="K92" s="2"/>
      <c r="L92" s="1040"/>
      <c r="M92" s="1040"/>
      <c r="N92" s="2"/>
      <c r="O92" s="2"/>
      <c r="P92" s="2"/>
      <c r="Q92" s="2"/>
      <c r="R92" s="2"/>
    </row>
    <row r="93" spans="1:18" s="11" customFormat="1" ht="15.6" customHeight="1">
      <c r="A93" s="2"/>
      <c r="B93" s="1062"/>
      <c r="C93" s="1063" t="s">
        <v>482</v>
      </c>
      <c r="D93" s="1064">
        <f>D87*D91</f>
        <v>0</v>
      </c>
      <c r="E93" s="1065"/>
      <c r="F93" s="2"/>
      <c r="G93" s="1083"/>
      <c r="H93" s="1084"/>
      <c r="I93" s="427"/>
      <c r="J93" s="2"/>
      <c r="K93" s="2"/>
      <c r="L93" s="1040"/>
      <c r="M93" s="1040"/>
      <c r="N93" s="2"/>
      <c r="O93" s="2"/>
      <c r="P93" s="2"/>
      <c r="Q93" s="2"/>
      <c r="R93" s="2"/>
    </row>
    <row r="94" spans="1:18" s="11" customFormat="1" ht="15.6" customHeight="1">
      <c r="A94" s="2"/>
      <c r="B94" s="244"/>
      <c r="G94" s="1"/>
      <c r="H94" s="1"/>
      <c r="I94" s="427"/>
      <c r="J94" s="2"/>
      <c r="K94" s="6"/>
      <c r="L94" s="2"/>
      <c r="M94" s="2"/>
      <c r="N94" s="2"/>
      <c r="O94" s="2"/>
      <c r="P94" s="2"/>
      <c r="Q94" s="2"/>
      <c r="R94" s="2"/>
    </row>
    <row r="95" spans="1:18" s="11" customFormat="1">
      <c r="A95" s="2"/>
      <c r="B95" s="1486" t="s">
        <v>755</v>
      </c>
      <c r="C95" s="1486"/>
      <c r="D95" s="1487"/>
      <c r="E95" s="1487"/>
      <c r="F95" s="1487"/>
      <c r="G95" s="1"/>
      <c r="H95" s="1"/>
      <c r="I95" s="427"/>
      <c r="J95" s="2"/>
      <c r="K95" s="994"/>
      <c r="L95" s="2"/>
      <c r="M95" s="2"/>
      <c r="N95" s="2"/>
      <c r="O95" s="2"/>
      <c r="P95" s="2"/>
      <c r="Q95" s="2"/>
      <c r="R95" s="2"/>
    </row>
    <row r="96" spans="1:18" s="429" customFormat="1">
      <c r="A96" s="2"/>
      <c r="B96" s="1487"/>
      <c r="C96" s="1487"/>
      <c r="D96" s="1487"/>
      <c r="E96" s="1487"/>
      <c r="F96" s="1487"/>
      <c r="G96" s="1"/>
      <c r="H96" s="1"/>
      <c r="I96" s="427"/>
      <c r="J96" s="2"/>
      <c r="K96" s="994"/>
      <c r="L96" s="2"/>
      <c r="M96" s="2"/>
      <c r="N96" s="2"/>
      <c r="O96" s="2"/>
      <c r="P96" s="2"/>
      <c r="Q96" s="2"/>
      <c r="R96" s="2"/>
    </row>
    <row r="97" spans="1:18" s="11" customFormat="1">
      <c r="A97" s="2"/>
      <c r="B97" s="552"/>
      <c r="C97" s="2"/>
      <c r="D97" s="2"/>
      <c r="E97" s="2"/>
      <c r="F97" s="2"/>
      <c r="G97" s="1"/>
      <c r="H97" s="1"/>
      <c r="I97" s="427"/>
      <c r="J97" s="2"/>
      <c r="K97" s="2"/>
      <c r="L97" s="1053"/>
      <c r="M97" s="1053"/>
      <c r="N97" s="2"/>
      <c r="O97" s="2"/>
      <c r="P97" s="2"/>
      <c r="Q97" s="2"/>
      <c r="R97" s="2"/>
    </row>
    <row r="98" spans="1:18" s="2" customFormat="1" hidden="1">
      <c r="B98" s="1478" t="s">
        <v>799</v>
      </c>
      <c r="C98" s="1479"/>
      <c r="D98" s="1479"/>
      <c r="E98" s="1480"/>
      <c r="G98" s="1"/>
      <c r="H98" s="1"/>
      <c r="I98" s="427"/>
    </row>
    <row r="99" spans="1:18" s="2" customFormat="1" ht="33" hidden="1" customHeight="1">
      <c r="B99" s="1343" t="s">
        <v>780</v>
      </c>
      <c r="C99" s="1476" t="s">
        <v>802</v>
      </c>
      <c r="D99" s="1477"/>
      <c r="E99" s="1477"/>
      <c r="G99" s="1"/>
      <c r="H99" s="1"/>
      <c r="I99" s="427"/>
    </row>
    <row r="100" spans="1:18" s="2" customFormat="1" ht="33" hidden="1" customHeight="1">
      <c r="B100" s="1343" t="s">
        <v>781</v>
      </c>
      <c r="C100" s="1476" t="s">
        <v>791</v>
      </c>
      <c r="D100" s="1477"/>
      <c r="E100" s="1477"/>
      <c r="G100" s="1"/>
      <c r="H100" s="1"/>
      <c r="I100" s="427"/>
    </row>
    <row r="101" spans="1:18" s="2" customFormat="1" ht="33" hidden="1" customHeight="1">
      <c r="B101" s="1343" t="s">
        <v>782</v>
      </c>
      <c r="C101" s="1476" t="s">
        <v>792</v>
      </c>
      <c r="D101" s="1477"/>
      <c r="E101" s="1477"/>
      <c r="G101" s="1"/>
      <c r="H101" s="1"/>
      <c r="I101" s="427"/>
    </row>
    <row r="102" spans="1:18" s="2" customFormat="1" ht="33" hidden="1" customHeight="1">
      <c r="B102" s="1343" t="s">
        <v>783</v>
      </c>
      <c r="C102" s="1476" t="s">
        <v>793</v>
      </c>
      <c r="D102" s="1477"/>
      <c r="E102" s="1477"/>
      <c r="G102" s="1"/>
      <c r="H102" s="1"/>
      <c r="I102" s="427"/>
    </row>
    <row r="103" spans="1:18" s="2" customFormat="1" ht="33" hidden="1" customHeight="1">
      <c r="B103" s="1343" t="s">
        <v>784</v>
      </c>
      <c r="C103" s="1476" t="s">
        <v>794</v>
      </c>
      <c r="D103" s="1477"/>
      <c r="E103" s="1477"/>
      <c r="G103" s="1"/>
      <c r="H103" s="1"/>
      <c r="I103" s="427"/>
    </row>
    <row r="104" spans="1:18" s="2" customFormat="1" ht="33" hidden="1" customHeight="1">
      <c r="B104" s="1343" t="s">
        <v>785</v>
      </c>
      <c r="C104" s="1476" t="s">
        <v>795</v>
      </c>
      <c r="D104" s="1477"/>
      <c r="E104" s="1477"/>
      <c r="G104" s="1"/>
      <c r="H104" s="1"/>
      <c r="I104" s="427"/>
    </row>
    <row r="105" spans="1:18" s="2" customFormat="1" ht="33" hidden="1" customHeight="1">
      <c r="B105" s="1343" t="s">
        <v>786</v>
      </c>
      <c r="C105" s="1481" t="s">
        <v>801</v>
      </c>
      <c r="D105" s="1482"/>
      <c r="E105" s="1483"/>
      <c r="G105" s="1"/>
      <c r="H105" s="1"/>
      <c r="I105" s="427"/>
    </row>
    <row r="106" spans="1:18" s="2" customFormat="1" ht="33" hidden="1" customHeight="1">
      <c r="B106" s="1343" t="s">
        <v>787</v>
      </c>
      <c r="C106" s="1476" t="s">
        <v>796</v>
      </c>
      <c r="D106" s="1477"/>
      <c r="E106" s="1477"/>
      <c r="G106" s="1"/>
      <c r="H106" s="1"/>
      <c r="I106" s="427"/>
    </row>
    <row r="107" spans="1:18" s="2" customFormat="1" ht="33" hidden="1" customHeight="1">
      <c r="B107" s="1343" t="s">
        <v>788</v>
      </c>
      <c r="C107" s="1476" t="s">
        <v>797</v>
      </c>
      <c r="D107" s="1477"/>
      <c r="E107" s="1477"/>
      <c r="G107" s="1"/>
      <c r="H107" s="1"/>
      <c r="I107" s="427"/>
    </row>
    <row r="108" spans="1:18" s="2" customFormat="1" ht="33" hidden="1" customHeight="1">
      <c r="B108" s="1343" t="s">
        <v>789</v>
      </c>
      <c r="C108" s="1476" t="s">
        <v>800</v>
      </c>
      <c r="D108" s="1477"/>
      <c r="E108" s="1477"/>
      <c r="G108" s="1"/>
      <c r="H108" s="1"/>
      <c r="I108" s="427"/>
    </row>
    <row r="109" spans="1:18" s="2" customFormat="1" ht="33" hidden="1" customHeight="1">
      <c r="B109" s="1343" t="s">
        <v>790</v>
      </c>
      <c r="C109" s="1476" t="s">
        <v>798</v>
      </c>
      <c r="D109" s="1477"/>
      <c r="E109" s="1477"/>
      <c r="G109" s="1"/>
      <c r="H109" s="1"/>
      <c r="I109" s="427"/>
    </row>
    <row r="110" spans="1:18" s="2" customFormat="1" hidden="1">
      <c r="G110" s="1"/>
      <c r="H110" s="1"/>
      <c r="I110" s="427"/>
    </row>
    <row r="111" spans="1:18" s="2" customFormat="1">
      <c r="A111" s="552"/>
      <c r="B111" s="1"/>
      <c r="C111" s="1"/>
      <c r="D111" s="1"/>
      <c r="E111" s="1"/>
      <c r="G111" s="1"/>
      <c r="H111" s="1"/>
      <c r="I111" s="427"/>
    </row>
    <row r="112" spans="1:18" s="1" customFormat="1">
      <c r="A112" s="2"/>
      <c r="B112" s="1344"/>
      <c r="F112" s="2"/>
      <c r="I112" s="425"/>
      <c r="K112" s="2"/>
    </row>
    <row r="113" spans="1:11" s="1" customFormat="1">
      <c r="A113" s="2"/>
      <c r="F113" s="2"/>
      <c r="I113" s="425"/>
      <c r="K113" s="2"/>
    </row>
    <row r="114" spans="1:11" s="1" customFormat="1">
      <c r="A114" s="2"/>
      <c r="I114" s="425"/>
      <c r="K114" s="2"/>
    </row>
    <row r="115" spans="1:11" s="1" customFormat="1">
      <c r="A115" s="2"/>
      <c r="I115" s="425"/>
      <c r="K115" s="2"/>
    </row>
    <row r="116" spans="1:11" s="1" customFormat="1">
      <c r="A116" s="2"/>
      <c r="I116" s="425"/>
      <c r="K116" s="2"/>
    </row>
    <row r="117" spans="1:11" s="1" customFormat="1">
      <c r="A117" s="2"/>
      <c r="I117" s="425"/>
      <c r="K117" s="2"/>
    </row>
    <row r="118" spans="1:11" s="1" customFormat="1">
      <c r="A118" s="2"/>
      <c r="I118" s="425"/>
      <c r="K118" s="2"/>
    </row>
    <row r="119" spans="1:11" s="1" customFormat="1">
      <c r="A119" s="2"/>
      <c r="I119" s="425"/>
      <c r="K119" s="2"/>
    </row>
    <row r="120" spans="1:11" s="1" customFormat="1">
      <c r="A120" s="2"/>
      <c r="I120" s="425"/>
      <c r="K120" s="2"/>
    </row>
    <row r="121" spans="1:11" s="1" customFormat="1">
      <c r="A121" s="2"/>
      <c r="I121" s="425"/>
      <c r="K121" s="2"/>
    </row>
    <row r="122" spans="1:11" s="1" customFormat="1">
      <c r="A122" s="2"/>
      <c r="I122" s="425"/>
      <c r="K122" s="2"/>
    </row>
    <row r="123" spans="1:11" s="1" customFormat="1">
      <c r="A123" s="2"/>
      <c r="I123" s="425"/>
      <c r="K123" s="2"/>
    </row>
    <row r="124" spans="1:11" s="1" customFormat="1">
      <c r="A124" s="2"/>
      <c r="I124" s="425"/>
      <c r="K124" s="2"/>
    </row>
    <row r="125" spans="1:11" s="1" customFormat="1">
      <c r="A125" s="2"/>
      <c r="I125" s="425"/>
      <c r="K125" s="2"/>
    </row>
    <row r="126" spans="1:11" s="1" customFormat="1">
      <c r="A126" s="2"/>
      <c r="I126" s="425"/>
      <c r="K126" s="2"/>
    </row>
    <row r="127" spans="1:11" s="1" customFormat="1">
      <c r="A127" s="2"/>
      <c r="I127" s="425"/>
      <c r="K127" s="2"/>
    </row>
    <row r="128" spans="1:11" s="1" customFormat="1">
      <c r="A128" s="2"/>
      <c r="I128" s="425"/>
      <c r="K128" s="2"/>
    </row>
    <row r="129" spans="1:11" s="1" customFormat="1">
      <c r="A129" s="2"/>
      <c r="I129" s="425"/>
      <c r="K129" s="2"/>
    </row>
    <row r="130" spans="1:11" s="1" customFormat="1">
      <c r="A130" s="2"/>
      <c r="I130" s="425"/>
      <c r="K130" s="2"/>
    </row>
    <row r="131" spans="1:11" s="1" customFormat="1">
      <c r="A131" s="2"/>
      <c r="I131" s="425"/>
      <c r="K131" s="2"/>
    </row>
    <row r="132" spans="1:11" s="1" customFormat="1">
      <c r="A132" s="2"/>
      <c r="I132" s="425"/>
      <c r="K132" s="2"/>
    </row>
    <row r="133" spans="1:11" s="1" customFormat="1">
      <c r="A133" s="2"/>
      <c r="I133" s="425"/>
      <c r="K133" s="2"/>
    </row>
    <row r="134" spans="1:11" s="1" customFormat="1">
      <c r="A134" s="2"/>
      <c r="I134" s="425"/>
      <c r="K134" s="2"/>
    </row>
    <row r="135" spans="1:11" s="1" customFormat="1">
      <c r="A135" s="2"/>
      <c r="I135" s="425"/>
      <c r="K135" s="2"/>
    </row>
    <row r="136" spans="1:11" s="1" customFormat="1">
      <c r="A136" s="2"/>
      <c r="I136" s="425"/>
      <c r="K136" s="2"/>
    </row>
    <row r="137" spans="1:11" s="1" customFormat="1">
      <c r="A137" s="2"/>
      <c r="I137" s="425"/>
      <c r="K137" s="2"/>
    </row>
    <row r="138" spans="1:11" s="1" customFormat="1">
      <c r="A138" s="2"/>
      <c r="I138" s="425"/>
      <c r="K138" s="2"/>
    </row>
    <row r="139" spans="1:11" s="1" customFormat="1">
      <c r="A139" s="2"/>
      <c r="I139" s="425"/>
      <c r="K139" s="2"/>
    </row>
    <row r="140" spans="1:11" s="1" customFormat="1">
      <c r="A140" s="2"/>
      <c r="I140" s="425"/>
      <c r="K140" s="2"/>
    </row>
    <row r="141" spans="1:11" s="1" customFormat="1">
      <c r="A141" s="2"/>
      <c r="I141" s="425"/>
      <c r="K141" s="2"/>
    </row>
    <row r="142" spans="1:11" s="1" customFormat="1">
      <c r="A142" s="2"/>
      <c r="I142" s="425"/>
      <c r="K142" s="2"/>
    </row>
    <row r="143" spans="1:11" s="1" customFormat="1">
      <c r="A143" s="2"/>
      <c r="I143" s="425"/>
      <c r="K143" s="2"/>
    </row>
    <row r="144" spans="1:11" s="1" customFormat="1">
      <c r="A144" s="2"/>
      <c r="I144" s="425"/>
      <c r="K144" s="2"/>
    </row>
    <row r="145" spans="1:11" s="1" customFormat="1">
      <c r="A145" s="2"/>
      <c r="I145" s="425"/>
      <c r="K145" s="2"/>
    </row>
    <row r="146" spans="1:11" s="1" customFormat="1">
      <c r="A146" s="2"/>
      <c r="I146" s="425"/>
      <c r="K146" s="2"/>
    </row>
    <row r="147" spans="1:11" s="1" customFormat="1">
      <c r="A147" s="2"/>
      <c r="I147" s="425"/>
      <c r="K147" s="2"/>
    </row>
    <row r="148" spans="1:11" s="1" customFormat="1">
      <c r="A148" s="2"/>
      <c r="I148" s="425"/>
      <c r="K148" s="2"/>
    </row>
    <row r="149" spans="1:11" s="1" customFormat="1">
      <c r="A149" s="2"/>
      <c r="I149" s="425"/>
      <c r="K149" s="2"/>
    </row>
    <row r="150" spans="1:11" s="1" customFormat="1">
      <c r="A150" s="2"/>
      <c r="I150" s="425"/>
      <c r="K150" s="2"/>
    </row>
    <row r="151" spans="1:11" s="1" customFormat="1">
      <c r="A151" s="2"/>
      <c r="I151" s="425"/>
      <c r="K151" s="2"/>
    </row>
    <row r="152" spans="1:11" s="1" customFormat="1">
      <c r="A152" s="2"/>
      <c r="I152" s="425"/>
      <c r="K152" s="2"/>
    </row>
    <row r="153" spans="1:11" s="1" customFormat="1">
      <c r="A153" s="2"/>
      <c r="I153" s="425"/>
      <c r="K153" s="2"/>
    </row>
    <row r="154" spans="1:11" s="1" customFormat="1">
      <c r="A154" s="2"/>
      <c r="I154" s="425"/>
      <c r="K154" s="2"/>
    </row>
    <row r="155" spans="1:11" s="1" customFormat="1">
      <c r="A155" s="2"/>
      <c r="I155" s="425"/>
      <c r="K155" s="2"/>
    </row>
    <row r="156" spans="1:11" s="1" customFormat="1">
      <c r="A156" s="2"/>
      <c r="I156" s="425"/>
      <c r="K156" s="2"/>
    </row>
    <row r="157" spans="1:11" s="1" customFormat="1">
      <c r="A157" s="2"/>
      <c r="I157" s="425"/>
      <c r="K157" s="2"/>
    </row>
    <row r="158" spans="1:11" s="1" customFormat="1">
      <c r="A158" s="2"/>
      <c r="I158" s="425"/>
      <c r="K158" s="2"/>
    </row>
    <row r="159" spans="1:11" s="1" customFormat="1">
      <c r="A159" s="2"/>
      <c r="I159" s="425"/>
      <c r="K159" s="2"/>
    </row>
    <row r="160" spans="1:11" s="1" customFormat="1">
      <c r="A160" s="2"/>
      <c r="I160" s="425"/>
      <c r="K160" s="2"/>
    </row>
    <row r="161" spans="1:11" s="1" customFormat="1">
      <c r="A161" s="2"/>
      <c r="I161" s="425"/>
      <c r="K161" s="2"/>
    </row>
    <row r="162" spans="1:11" s="1" customFormat="1">
      <c r="A162" s="2"/>
      <c r="I162" s="425"/>
      <c r="K162" s="2"/>
    </row>
    <row r="163" spans="1:11" s="1" customFormat="1">
      <c r="A163" s="2"/>
      <c r="I163" s="425"/>
      <c r="K163" s="2"/>
    </row>
    <row r="164" spans="1:11" s="1" customFormat="1">
      <c r="A164" s="2"/>
      <c r="I164" s="425"/>
      <c r="K164" s="2"/>
    </row>
    <row r="165" spans="1:11" s="1" customFormat="1">
      <c r="A165" s="2"/>
      <c r="I165" s="425"/>
      <c r="K165" s="2"/>
    </row>
    <row r="166" spans="1:11" s="1" customFormat="1">
      <c r="A166" s="2"/>
      <c r="I166" s="425"/>
      <c r="K166" s="2"/>
    </row>
    <row r="167" spans="1:11" s="1" customFormat="1">
      <c r="A167" s="2"/>
      <c r="I167" s="425"/>
      <c r="K167" s="2"/>
    </row>
    <row r="168" spans="1:11" s="1" customFormat="1">
      <c r="A168" s="2"/>
      <c r="I168" s="425"/>
      <c r="K168" s="2"/>
    </row>
    <row r="169" spans="1:11" s="1" customFormat="1">
      <c r="A169" s="2"/>
      <c r="I169" s="425"/>
      <c r="K169" s="2"/>
    </row>
    <row r="170" spans="1:11" s="1" customFormat="1">
      <c r="A170" s="2"/>
      <c r="I170" s="425"/>
      <c r="K170" s="2"/>
    </row>
    <row r="171" spans="1:11" s="1" customFormat="1">
      <c r="A171" s="2"/>
      <c r="I171" s="425"/>
      <c r="K171" s="2"/>
    </row>
    <row r="172" spans="1:11" s="1" customFormat="1">
      <c r="A172" s="2"/>
      <c r="I172" s="425"/>
      <c r="K172" s="2"/>
    </row>
    <row r="173" spans="1:11" s="1" customFormat="1">
      <c r="A173" s="2"/>
      <c r="I173" s="425"/>
      <c r="K173" s="2"/>
    </row>
    <row r="174" spans="1:11" s="1" customFormat="1">
      <c r="A174" s="2"/>
      <c r="I174" s="425"/>
      <c r="K174" s="2"/>
    </row>
    <row r="175" spans="1:11" s="1" customFormat="1">
      <c r="A175" s="2"/>
      <c r="I175" s="425"/>
      <c r="K175" s="2"/>
    </row>
    <row r="176" spans="1:11" s="1" customFormat="1">
      <c r="A176" s="2"/>
      <c r="I176" s="425"/>
      <c r="K176" s="2"/>
    </row>
    <row r="177" spans="1:11" s="1" customFormat="1">
      <c r="A177" s="2"/>
      <c r="I177" s="425"/>
      <c r="K177" s="2"/>
    </row>
    <row r="178" spans="1:11" s="1" customFormat="1">
      <c r="A178" s="2"/>
      <c r="I178" s="425"/>
      <c r="K178" s="2"/>
    </row>
    <row r="179" spans="1:11" s="1" customFormat="1">
      <c r="A179" s="2"/>
      <c r="I179" s="425"/>
      <c r="K179" s="2"/>
    </row>
    <row r="180" spans="1:11" s="1" customFormat="1">
      <c r="A180" s="2"/>
      <c r="I180" s="425"/>
      <c r="K180" s="2"/>
    </row>
    <row r="181" spans="1:11" s="1" customFormat="1">
      <c r="A181" s="2"/>
      <c r="I181" s="425"/>
      <c r="K181" s="2"/>
    </row>
    <row r="182" spans="1:11" s="1" customFormat="1">
      <c r="A182" s="2"/>
      <c r="I182" s="425"/>
      <c r="K182" s="2"/>
    </row>
    <row r="183" spans="1:11" s="1" customFormat="1">
      <c r="A183" s="2"/>
      <c r="I183" s="425"/>
      <c r="K183" s="2"/>
    </row>
    <row r="184" spans="1:11" s="1" customFormat="1">
      <c r="A184" s="2"/>
      <c r="I184" s="425"/>
      <c r="K184" s="2"/>
    </row>
    <row r="185" spans="1:11" s="1" customFormat="1">
      <c r="A185" s="2"/>
      <c r="I185" s="425"/>
      <c r="K185" s="2"/>
    </row>
    <row r="186" spans="1:11" s="1" customFormat="1">
      <c r="A186" s="2"/>
      <c r="I186" s="425"/>
      <c r="K186" s="2"/>
    </row>
    <row r="187" spans="1:11" s="1" customFormat="1">
      <c r="A187" s="2"/>
      <c r="I187" s="425"/>
      <c r="K187" s="2"/>
    </row>
    <row r="188" spans="1:11" s="1" customFormat="1">
      <c r="A188" s="2"/>
      <c r="I188" s="425"/>
      <c r="K188" s="2"/>
    </row>
    <row r="189" spans="1:11" s="1" customFormat="1">
      <c r="A189" s="2"/>
      <c r="I189" s="425"/>
      <c r="K189" s="2"/>
    </row>
    <row r="190" spans="1:11" s="1" customFormat="1">
      <c r="A190" s="2"/>
      <c r="I190" s="425"/>
      <c r="K190" s="2"/>
    </row>
    <row r="191" spans="1:11" s="1" customFormat="1">
      <c r="A191" s="2"/>
      <c r="I191" s="425"/>
      <c r="K191" s="2"/>
    </row>
    <row r="192" spans="1:11" s="1" customFormat="1">
      <c r="A192" s="2"/>
      <c r="I192" s="425"/>
      <c r="K192" s="2"/>
    </row>
    <row r="193" spans="1:11" s="1" customFormat="1">
      <c r="A193" s="2"/>
      <c r="I193" s="425"/>
      <c r="K193" s="2"/>
    </row>
    <row r="194" spans="1:11" s="1" customFormat="1">
      <c r="A194" s="2"/>
      <c r="I194" s="425"/>
      <c r="K194" s="2"/>
    </row>
    <row r="195" spans="1:11" s="1" customFormat="1">
      <c r="A195" s="2"/>
      <c r="I195" s="425"/>
      <c r="K195" s="2"/>
    </row>
    <row r="196" spans="1:11" s="1" customFormat="1">
      <c r="A196" s="2"/>
      <c r="I196" s="425"/>
      <c r="K196" s="2"/>
    </row>
    <row r="197" spans="1:11" s="1" customFormat="1">
      <c r="A197" s="2"/>
      <c r="I197" s="425"/>
      <c r="K197" s="2"/>
    </row>
    <row r="198" spans="1:11" s="1" customFormat="1">
      <c r="A198" s="2"/>
      <c r="I198" s="425"/>
      <c r="K198" s="2"/>
    </row>
    <row r="199" spans="1:11" s="1" customFormat="1">
      <c r="A199" s="2"/>
      <c r="I199" s="425"/>
      <c r="K199" s="2"/>
    </row>
    <row r="200" spans="1:11" s="1" customFormat="1">
      <c r="A200" s="2"/>
      <c r="I200" s="425"/>
      <c r="K200" s="2"/>
    </row>
    <row r="201" spans="1:11" s="1" customFormat="1">
      <c r="A201" s="2"/>
      <c r="I201" s="425"/>
      <c r="K201" s="2"/>
    </row>
    <row r="202" spans="1:11" s="1" customFormat="1">
      <c r="A202" s="2"/>
      <c r="I202" s="425"/>
      <c r="K202" s="2"/>
    </row>
    <row r="203" spans="1:11" s="1" customFormat="1">
      <c r="A203" s="2"/>
      <c r="I203" s="425"/>
      <c r="K203" s="2"/>
    </row>
    <row r="204" spans="1:11" s="1" customFormat="1">
      <c r="A204" s="2"/>
      <c r="I204" s="425"/>
      <c r="K204" s="2"/>
    </row>
    <row r="205" spans="1:11" s="1" customFormat="1">
      <c r="A205" s="2"/>
      <c r="I205" s="425"/>
      <c r="K205" s="2"/>
    </row>
    <row r="206" spans="1:11" s="1" customFormat="1">
      <c r="A206" s="2"/>
      <c r="I206" s="425"/>
      <c r="K206" s="2"/>
    </row>
    <row r="207" spans="1:11" s="1" customFormat="1">
      <c r="A207" s="2"/>
      <c r="I207" s="425"/>
      <c r="K207" s="2"/>
    </row>
    <row r="208" spans="1:11" s="1" customFormat="1">
      <c r="A208" s="2"/>
      <c r="I208" s="425"/>
      <c r="K208" s="2"/>
    </row>
    <row r="209" spans="1:11" s="1" customFormat="1">
      <c r="A209" s="2"/>
      <c r="I209" s="425"/>
      <c r="K209" s="2"/>
    </row>
    <row r="210" spans="1:11" s="1" customFormat="1">
      <c r="A210" s="2"/>
      <c r="I210" s="425"/>
      <c r="K210" s="2"/>
    </row>
    <row r="211" spans="1:11" s="1" customFormat="1">
      <c r="A211" s="2"/>
      <c r="I211" s="425"/>
      <c r="K211" s="2"/>
    </row>
    <row r="212" spans="1:11" s="1" customFormat="1">
      <c r="A212" s="2"/>
      <c r="I212" s="425"/>
      <c r="K212" s="2"/>
    </row>
    <row r="213" spans="1:11" s="1" customFormat="1">
      <c r="A213" s="2"/>
      <c r="I213" s="425"/>
      <c r="K213" s="2"/>
    </row>
    <row r="214" spans="1:11" s="1" customFormat="1">
      <c r="A214" s="2"/>
      <c r="I214" s="425"/>
      <c r="K214" s="2"/>
    </row>
    <row r="215" spans="1:11" s="1" customFormat="1">
      <c r="A215" s="2"/>
      <c r="I215" s="425"/>
      <c r="K215" s="2"/>
    </row>
    <row r="216" spans="1:11" s="1" customFormat="1">
      <c r="A216" s="2"/>
      <c r="I216" s="425"/>
      <c r="K216" s="2"/>
    </row>
    <row r="217" spans="1:11" s="1" customFormat="1">
      <c r="A217" s="2"/>
      <c r="I217" s="425"/>
      <c r="K217" s="2"/>
    </row>
    <row r="218" spans="1:11" s="1" customFormat="1">
      <c r="A218" s="2"/>
      <c r="I218" s="425"/>
      <c r="K218" s="2"/>
    </row>
    <row r="219" spans="1:11" s="1" customFormat="1">
      <c r="A219" s="2"/>
      <c r="I219" s="425"/>
      <c r="K219" s="2"/>
    </row>
    <row r="220" spans="1:11" s="1" customFormat="1">
      <c r="A220" s="2"/>
      <c r="I220" s="425"/>
      <c r="K220" s="2"/>
    </row>
    <row r="221" spans="1:11" s="1" customFormat="1">
      <c r="A221" s="2"/>
      <c r="I221" s="425"/>
      <c r="K221" s="2"/>
    </row>
    <row r="222" spans="1:11" s="1" customFormat="1">
      <c r="A222" s="2"/>
      <c r="I222" s="425"/>
      <c r="K222" s="2"/>
    </row>
    <row r="223" spans="1:11" s="1" customFormat="1">
      <c r="A223" s="2"/>
      <c r="I223" s="425"/>
      <c r="K223" s="2"/>
    </row>
    <row r="224" spans="1:11" s="1" customFormat="1">
      <c r="A224" s="2"/>
      <c r="I224" s="425"/>
      <c r="K224" s="2"/>
    </row>
    <row r="225" spans="1:11" s="1" customFormat="1">
      <c r="A225" s="2"/>
      <c r="I225" s="425"/>
      <c r="K225" s="2"/>
    </row>
    <row r="226" spans="1:11" s="1" customFormat="1">
      <c r="A226" s="2"/>
      <c r="I226" s="425"/>
      <c r="K226" s="2"/>
    </row>
    <row r="227" spans="1:11" s="1" customFormat="1">
      <c r="A227" s="2"/>
      <c r="I227" s="425"/>
      <c r="K227" s="2"/>
    </row>
    <row r="228" spans="1:11" s="1" customFormat="1">
      <c r="A228" s="2"/>
      <c r="I228" s="425"/>
      <c r="K228" s="2"/>
    </row>
    <row r="229" spans="1:11" s="1" customFormat="1">
      <c r="A229" s="2"/>
      <c r="I229" s="425"/>
      <c r="K229" s="2"/>
    </row>
    <row r="230" spans="1:11" s="1" customFormat="1">
      <c r="A230" s="2"/>
      <c r="I230" s="425"/>
      <c r="K230" s="2"/>
    </row>
    <row r="231" spans="1:11" s="1" customFormat="1">
      <c r="A231" s="2"/>
      <c r="I231" s="425"/>
      <c r="K231" s="2"/>
    </row>
    <row r="232" spans="1:11" s="1" customFormat="1">
      <c r="A232" s="2"/>
      <c r="I232" s="425"/>
      <c r="K232" s="2"/>
    </row>
    <row r="233" spans="1:11" s="1" customFormat="1">
      <c r="A233" s="2"/>
      <c r="I233" s="425"/>
      <c r="K233" s="2"/>
    </row>
    <row r="234" spans="1:11" s="1" customFormat="1">
      <c r="A234" s="2"/>
      <c r="I234" s="425"/>
      <c r="K234" s="2"/>
    </row>
    <row r="235" spans="1:11" s="1" customFormat="1">
      <c r="A235" s="2"/>
      <c r="I235" s="425"/>
      <c r="K235" s="2"/>
    </row>
    <row r="236" spans="1:11" s="1" customFormat="1">
      <c r="A236" s="2"/>
      <c r="I236" s="425"/>
      <c r="K236" s="2"/>
    </row>
    <row r="237" spans="1:11" s="1" customFormat="1">
      <c r="A237" s="2"/>
      <c r="I237" s="425"/>
      <c r="K237" s="2"/>
    </row>
    <row r="238" spans="1:11" s="1" customFormat="1">
      <c r="A238" s="2"/>
      <c r="I238" s="425"/>
      <c r="K238" s="2"/>
    </row>
    <row r="239" spans="1:11" s="1" customFormat="1">
      <c r="A239" s="2"/>
      <c r="I239" s="425"/>
      <c r="K239" s="2"/>
    </row>
    <row r="240" spans="1:11" s="1" customFormat="1">
      <c r="A240" s="2"/>
      <c r="I240" s="425"/>
      <c r="K240" s="2"/>
    </row>
    <row r="241" spans="1:11" s="1" customFormat="1">
      <c r="A241" s="2"/>
      <c r="I241" s="425"/>
      <c r="K241" s="2"/>
    </row>
    <row r="242" spans="1:11" s="1" customFormat="1">
      <c r="A242" s="2"/>
      <c r="I242" s="425"/>
      <c r="K242" s="2"/>
    </row>
    <row r="243" spans="1:11" s="1" customFormat="1">
      <c r="A243" s="2"/>
      <c r="I243" s="425"/>
      <c r="K243" s="2"/>
    </row>
    <row r="244" spans="1:11" s="1" customFormat="1">
      <c r="A244" s="2"/>
      <c r="I244" s="425"/>
      <c r="K244" s="2"/>
    </row>
    <row r="245" spans="1:11" s="1" customFormat="1">
      <c r="A245" s="2"/>
      <c r="I245" s="425"/>
      <c r="K245" s="2"/>
    </row>
    <row r="246" spans="1:11" s="1" customFormat="1">
      <c r="A246" s="2"/>
      <c r="I246" s="425"/>
      <c r="K246" s="2"/>
    </row>
    <row r="247" spans="1:11" s="1" customFormat="1">
      <c r="A247" s="2"/>
      <c r="I247" s="425"/>
      <c r="K247" s="2"/>
    </row>
    <row r="248" spans="1:11" s="1" customFormat="1">
      <c r="A248" s="2"/>
      <c r="I248" s="425"/>
      <c r="K248" s="2"/>
    </row>
    <row r="249" spans="1:11" s="1" customFormat="1">
      <c r="A249" s="2"/>
      <c r="I249" s="425"/>
      <c r="K249" s="2"/>
    </row>
    <row r="250" spans="1:11" s="1" customFormat="1">
      <c r="A250" s="2"/>
      <c r="I250" s="425"/>
      <c r="K250" s="2"/>
    </row>
    <row r="251" spans="1:11" s="1" customFormat="1">
      <c r="A251" s="2"/>
      <c r="I251" s="425"/>
      <c r="K251" s="2"/>
    </row>
    <row r="252" spans="1:11" s="1" customFormat="1">
      <c r="A252" s="2"/>
      <c r="I252" s="425"/>
      <c r="K252" s="2"/>
    </row>
    <row r="253" spans="1:11" s="1" customFormat="1">
      <c r="A253" s="2"/>
      <c r="I253" s="425"/>
      <c r="K253" s="2"/>
    </row>
    <row r="254" spans="1:11" s="1" customFormat="1">
      <c r="A254" s="2"/>
      <c r="I254" s="425"/>
      <c r="K254" s="2"/>
    </row>
    <row r="255" spans="1:11" s="1" customFormat="1">
      <c r="A255" s="2"/>
      <c r="I255" s="425"/>
      <c r="K255" s="2"/>
    </row>
    <row r="256" spans="1:11" s="1" customFormat="1">
      <c r="A256" s="2"/>
      <c r="I256" s="425"/>
      <c r="K256" s="2"/>
    </row>
    <row r="257" spans="1:11" s="1" customFormat="1">
      <c r="A257" s="2"/>
      <c r="I257" s="425"/>
      <c r="K257" s="2"/>
    </row>
    <row r="258" spans="1:11" s="1" customFormat="1">
      <c r="A258" s="2"/>
      <c r="I258" s="425"/>
      <c r="K258" s="2"/>
    </row>
    <row r="259" spans="1:11" s="1" customFormat="1">
      <c r="A259" s="2"/>
      <c r="I259" s="425"/>
      <c r="K259" s="2"/>
    </row>
    <row r="260" spans="1:11" s="1" customFormat="1">
      <c r="A260" s="2"/>
      <c r="B260" s="734"/>
      <c r="C260" s="734"/>
      <c r="D260" s="734"/>
      <c r="E260" s="734"/>
      <c r="I260" s="425"/>
      <c r="K260" s="2"/>
    </row>
  </sheetData>
  <sheetProtection algorithmName="SHA-512" hashValue="3jsPERSMjGT86lzQBJjNa0wkO87ovsw7zuKcRTjXanD3a2KNn1NU2gNpf8B3fEoIlzxqyfvNqib3LzzkpQrzwA==" saltValue="L6HGTl4R950Gwv4EfUQe/Q==" spinCount="100000" sheet="1" objects="1" scenarios="1"/>
  <mergeCells count="22">
    <mergeCell ref="C1:E1"/>
    <mergeCell ref="C2:E2"/>
    <mergeCell ref="B95:F96"/>
    <mergeCell ref="D45:F45"/>
    <mergeCell ref="D56:F56"/>
    <mergeCell ref="D66:F66"/>
    <mergeCell ref="D76:F76"/>
    <mergeCell ref="D86:F86"/>
    <mergeCell ref="D27:F27"/>
    <mergeCell ref="C53:E53"/>
    <mergeCell ref="C108:E108"/>
    <mergeCell ref="C109:E109"/>
    <mergeCell ref="B98:E98"/>
    <mergeCell ref="C103:E103"/>
    <mergeCell ref="C104:E104"/>
    <mergeCell ref="C106:E106"/>
    <mergeCell ref="C107:E107"/>
    <mergeCell ref="C105:E105"/>
    <mergeCell ref="C99:E99"/>
    <mergeCell ref="C100:E100"/>
    <mergeCell ref="C101:E101"/>
    <mergeCell ref="C102:E102"/>
  </mergeCells>
  <dataValidations xWindow="482" yWindow="836" count="17">
    <dataValidation allowBlank="1" showErrorMessage="1" promptTitle="DSCR" prompt="Enter the DSCR required on the permanent loan" sqref="D51 D37" xr:uid="{4809754A-0562-49EB-A202-5474CDB2C365}"/>
    <dataValidation allowBlank="1" showErrorMessage="1" promptTitle="Interest rate" prompt="Enter the all-in interest rate, inclusive of any loan servicing fees" sqref="D47 D31" xr:uid="{53FF17CE-D8C6-436B-BCEA-D24879722E08}"/>
    <dataValidation allowBlank="1" showErrorMessage="1" promptTitle="Loan amount" prompt="Enter the amount of the permanent loan" sqref="D46" xr:uid="{8021C98F-7271-4F60-B1E1-E90615DB0D93}"/>
    <dataValidation allowBlank="1" showErrorMessage="1" promptTitle="Term" prompt="Enter the length of the loan tern in years" sqref="D48" xr:uid="{9F34BB4B-B683-4281-8B45-1E002EF6E4DB}"/>
    <dataValidation allowBlank="1" showErrorMessage="1" prompt="Enter  the I:E ratio required on the permanent loan" sqref="D52 D38" xr:uid="{02DDDBC4-5827-409D-A180-E92EF5594D25}"/>
    <dataValidation allowBlank="1" showErrorMessage="1" promptTitle="% construction loan out" prompt="Enter the estimated % of the construction loan that will be outstanding on average for term of the loan." sqref="D36" xr:uid="{5E5F39F2-9CEC-4AE4-A47E-A0B16D7E6FFF}"/>
    <dataValidation allowBlank="1" showErrorMessage="1" promptTitle="Interest Rate" prompt="Enter the all-in interest rate, inclusive of any loan servicing fees" sqref="D29" xr:uid="{3EA37617-A653-4C55-8C68-8A5344342432}"/>
    <dataValidation allowBlank="1" showErrorMessage="1" promptTitle="Construction Term" prompt="Enter the number of months the project will be under construction._x000a_" sqref="D32" xr:uid="{8B942462-0F56-4EFD-8258-E4E22F8BBECF}"/>
    <dataValidation allowBlank="1" showErrorMessage="1" promptTitle="Rent-up &amp; conversion" prompt="Enter the number of months from the time of  construc_x000a_tion completion to conversion to permanent financing. _x000a_" sqref="D33" xr:uid="{C250BEAE-D605-4AC7-AA98-9C68E476F491}"/>
    <dataValidation allowBlank="1" showErrorMessage="1" promptTitle="Residential Const. Interest" prompt="Enter the amount of construction interest attributable to the residential project" sqref="D40" xr:uid="{3FD0A71C-3198-456C-8490-C230AECC0D34}"/>
    <dataValidation allowBlank="1" showErrorMessage="1" promptTitle="CSF Construction Interest" prompt="Enter the amount of construction interest attributable to the CSF" sqref="D41" xr:uid="{34FCEC08-7960-4C87-95A0-8587BA9C9021}"/>
    <dataValidation allowBlank="1" showErrorMessage="1" promptTitle="Other Non-res  Const. Interest" prompt="Enter the amount of construction interest attributable to the other non-residential space." sqref="D42" xr:uid="{1874B875-57EE-445C-AE21-0CAEF0BC3FEA}"/>
    <dataValidation allowBlank="1" showInputMessage="1" showErrorMessage="1" promptTitle="Construction Term" prompt="Enter the number of months from construction completion to permanent conversion_x000a_" sqref="D33" xr:uid="{15D758C9-5ED4-4496-935F-B374A63D3F6D}"/>
    <dataValidation allowBlank="1" showErrorMessage="1" promptTitle="Construction Loan term" prompt="This will reflect the number of months that the construction loan will be outstanding." sqref="D34" xr:uid="{EBEF26B0-7397-4511-8206-16129FC09E45}"/>
    <dataValidation allowBlank="1" showErrorMessage="1" promptTitle="Permanent Accrual Rate" prompt="If all, or a portion of the interest will accrue annually, enter the accrual rate.  If all of the interest is payable annually ,leave blank_x000a__x000a_All HCR subsidy loans are .50% interest hard payments annually._x000a_" sqref="D60 D90 D80 D70" xr:uid="{76774DC6-4D57-4535-A0A0-56DB98E0934F}"/>
    <dataValidation type="list" showErrorMessage="1" promptTitle="Mortgage Type" prompt="Select interest only for loans with all or a portion of the interest payable annually  OR select  accrued interest for loans with no annual payments required." sqref="D59 D69 D79 D89" xr:uid="{55FA89DA-561A-48EE-A366-D9E00B759244}">
      <formula1>"[select],Interest Only,Accrued Interest"</formula1>
    </dataValidation>
    <dataValidation allowBlank="1" showErrorMessage="1" promptTitle="Permanent Pay Rate" prompt="Inidcate the interest rate payable annually" sqref="D61 D91 D81 D71" xr:uid="{116EE752-0315-41C4-822F-0941EB3BD505}"/>
  </dataValidations>
  <pageMargins left="0.7" right="0.7" top="0.75" bottom="0.5" header="0.3" footer="0.3"/>
  <pageSetup scale="84" fitToHeight="0" orientation="portrait" r:id="rId1"/>
  <rowBreaks count="2" manualBreakCount="2">
    <brk id="52" max="5" man="1"/>
    <brk id="96" max="5" man="1"/>
  </rowBreaks>
  <colBreaks count="1" manualBreakCount="1">
    <brk id="1" max="1048575" man="1"/>
  </colBreaks>
  <legacyDrawing r:id="rId2"/>
  <extLst>
    <ext xmlns:x14="http://schemas.microsoft.com/office/spreadsheetml/2009/9/main" uri="{CCE6A557-97BC-4b89-ADB6-D9C93CAAB3DF}">
      <x14:dataValidations xmlns:xm="http://schemas.microsoft.com/office/excel/2006/main" xWindow="482" yWindow="836" count="1">
        <x14:dataValidation type="list" allowBlank="1" showInputMessage="1" showErrorMessage="1" xr:uid="{3E48B922-5FC7-4C0A-A83B-0C747175B512}">
          <x14:formula1>
            <xm:f>'2020 AMI'!$W$6:$W$67</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5">
    <pageSetUpPr fitToPage="1"/>
  </sheetPr>
  <dimension ref="A1:O62"/>
  <sheetViews>
    <sheetView showGridLines="0" zoomScaleNormal="100" workbookViewId="0"/>
  </sheetViews>
  <sheetFormatPr defaultColWidth="9.88671875" defaultRowHeight="15.6" customHeight="1"/>
  <cols>
    <col min="1" max="1" width="11.77734375" style="1" customWidth="1"/>
    <col min="2" max="2" width="22.77734375" style="1" customWidth="1"/>
    <col min="3" max="3" width="12.77734375" style="1" customWidth="1"/>
    <col min="4" max="4" width="9.44140625" style="1" customWidth="1"/>
    <col min="5" max="5" width="12.77734375" style="1" customWidth="1"/>
    <col min="6" max="6" width="8.77734375" style="1" customWidth="1"/>
    <col min="7" max="7" width="9.77734375" style="1" customWidth="1"/>
    <col min="8" max="8" width="9.44140625" style="1" bestFit="1" customWidth="1"/>
    <col min="9" max="9" width="8" style="83" customWidth="1"/>
    <col min="10" max="10" width="8" style="84" customWidth="1"/>
    <col min="11" max="11" width="5.88671875" style="14" customWidth="1"/>
    <col min="12" max="12" width="13.88671875" style="14" bestFit="1" customWidth="1"/>
    <col min="13" max="13" width="5.6640625" style="1427" customWidth="1"/>
    <col min="14" max="14" width="9.44140625" style="14" customWidth="1"/>
    <col min="15" max="15" width="10.33203125" style="1" customWidth="1"/>
    <col min="16" max="22" width="9.88671875" style="1"/>
    <col min="23" max="23" width="5.6640625" style="1" customWidth="1"/>
    <col min="24" max="16384" width="9.88671875" style="1"/>
  </cols>
  <sheetData>
    <row r="1" spans="1:15" ht="15.6" customHeight="1">
      <c r="A1" s="607"/>
      <c r="E1" s="1382" t="s">
        <v>7</v>
      </c>
    </row>
    <row r="2" spans="1:15" ht="15.6" customHeight="1">
      <c r="A2" s="616" t="s">
        <v>719</v>
      </c>
      <c r="B2" s="1492">
        <f>' Project Debt &amp; NOI'!C1</f>
        <v>0</v>
      </c>
      <c r="C2" s="1471"/>
      <c r="D2" s="1471"/>
      <c r="G2" s="1397"/>
      <c r="H2" s="1397"/>
      <c r="I2" s="1398" t="s">
        <v>814</v>
      </c>
      <c r="J2" s="1398" t="s">
        <v>815</v>
      </c>
      <c r="K2" s="228"/>
    </row>
    <row r="3" spans="1:15" ht="15.6" customHeight="1">
      <c r="A3" s="428" t="s">
        <v>743</v>
      </c>
      <c r="B3" s="1492">
        <f>' Project Debt &amp; NOI'!C2</f>
        <v>0</v>
      </c>
      <c r="C3" s="1493"/>
      <c r="D3" s="1494"/>
      <c r="E3" s="1399"/>
      <c r="F3" s="1385" t="s">
        <v>441</v>
      </c>
      <c r="G3" s="434"/>
      <c r="H3" s="1386" t="s">
        <v>471</v>
      </c>
      <c r="I3" s="367"/>
      <c r="J3" s="1390" t="e">
        <f>'Tax Credit Worksheet'!E20</f>
        <v>#DIV/0!</v>
      </c>
      <c r="K3" s="228"/>
    </row>
    <row r="4" spans="1:15" ht="15.6" customHeight="1">
      <c r="A4" s="616" t="s">
        <v>734</v>
      </c>
      <c r="B4" s="429">
        <f>' Project Debt &amp; NOI'!C3</f>
        <v>0</v>
      </c>
      <c r="I4" s="1"/>
      <c r="J4" s="433"/>
      <c r="K4" s="228"/>
      <c r="M4" s="1428"/>
      <c r="O4" s="85"/>
    </row>
    <row r="5" spans="1:15" ht="15.75">
      <c r="A5" s="1383" t="s">
        <v>404</v>
      </c>
      <c r="B5" s="1384">
        <f>'Units &amp; Income'!C16</f>
        <v>0</v>
      </c>
      <c r="C5" s="1382"/>
      <c r="E5" s="1400"/>
      <c r="F5" s="1401" t="s">
        <v>442</v>
      </c>
      <c r="G5" s="1402"/>
      <c r="H5" s="1403" t="s">
        <v>472</v>
      </c>
      <c r="I5" s="1404"/>
      <c r="J5" s="1405" t="e">
        <f>'Tax Credit Worksheet'!G20</f>
        <v>#DIV/0!</v>
      </c>
      <c r="K5" s="228"/>
      <c r="L5" s="1"/>
      <c r="M5" s="1429"/>
    </row>
    <row r="6" spans="1:15" s="1211" customFormat="1" ht="30" customHeight="1">
      <c r="A6" s="1503" t="s">
        <v>20</v>
      </c>
      <c r="B6" s="1504"/>
      <c r="C6" s="1387" t="s">
        <v>46</v>
      </c>
      <c r="D6" s="1388" t="s">
        <v>406</v>
      </c>
      <c r="E6" s="1388" t="s">
        <v>816</v>
      </c>
      <c r="F6" s="1388" t="s">
        <v>47</v>
      </c>
      <c r="G6" s="1388" t="s">
        <v>407</v>
      </c>
      <c r="H6" s="1388"/>
      <c r="I6" s="1387" t="s">
        <v>134</v>
      </c>
      <c r="J6" s="1389" t="s">
        <v>37</v>
      </c>
      <c r="K6" s="1210"/>
      <c r="L6" s="14"/>
      <c r="M6" s="1430"/>
      <c r="N6" s="14"/>
    </row>
    <row r="7" spans="1:15" ht="15.6" customHeight="1">
      <c r="A7" s="1501">
        <f>' Project Debt &amp; NOI'!D27</f>
        <v>0</v>
      </c>
      <c r="B7" s="1502"/>
      <c r="C7" s="1155">
        <f>' Project Debt &amp; NOI'!D28</f>
        <v>0</v>
      </c>
      <c r="D7" s="1294" t="s">
        <v>701</v>
      </c>
      <c r="E7" s="1156">
        <f>' Project Debt &amp; NOI'!D34</f>
        <v>0</v>
      </c>
      <c r="F7" s="1265">
        <f>' Project Debt &amp; NOI'!D29</f>
        <v>0</v>
      </c>
      <c r="G7" s="1157">
        <v>1</v>
      </c>
      <c r="H7" s="1413"/>
      <c r="I7" s="1158" t="e">
        <f>C7/'Units &amp; Income'!$C$16</f>
        <v>#DIV/0!</v>
      </c>
      <c r="J7" s="1159" t="e">
        <f t="shared" ref="J7:J21" si="0">C7/$C$22</f>
        <v>#DIV/0!</v>
      </c>
      <c r="K7" s="617" t="s">
        <v>34</v>
      </c>
      <c r="M7" s="1432" t="s">
        <v>701</v>
      </c>
    </row>
    <row r="8" spans="1:15" ht="15.6" customHeight="1">
      <c r="A8" s="1495" t="str">
        <f>IF(G3&gt;0,"LIHTC Equity","")</f>
        <v/>
      </c>
      <c r="B8" s="1496"/>
      <c r="C8" s="1141"/>
      <c r="D8" s="1294"/>
      <c r="E8" s="767"/>
      <c r="F8" s="1266"/>
      <c r="G8" s="766"/>
      <c r="H8" s="1414"/>
      <c r="I8" s="241" t="e">
        <f>C8/'Units &amp; Income'!$C$16</f>
        <v>#DIV/0!</v>
      </c>
      <c r="J8" s="1144" t="e">
        <f t="shared" si="0"/>
        <v>#DIV/0!</v>
      </c>
      <c r="K8" s="564"/>
      <c r="M8" s="1432" t="s">
        <v>821</v>
      </c>
    </row>
    <row r="9" spans="1:15" ht="15.6" customHeight="1">
      <c r="A9" s="1495" t="str">
        <f>IF(G5&gt;0,"SLIHC Equity","")</f>
        <v/>
      </c>
      <c r="B9" s="1496"/>
      <c r="C9" s="1141"/>
      <c r="D9" s="1294"/>
      <c r="E9" s="767"/>
      <c r="F9" s="1266"/>
      <c r="G9" s="766"/>
      <c r="H9" s="1414"/>
      <c r="I9" s="241" t="e">
        <f>C9/'Units &amp; Income'!$C$16</f>
        <v>#DIV/0!</v>
      </c>
      <c r="J9" s="1144" t="e">
        <f t="shared" si="0"/>
        <v>#DIV/0!</v>
      </c>
      <c r="K9" s="564"/>
      <c r="M9" s="1432" t="s">
        <v>702</v>
      </c>
    </row>
    <row r="10" spans="1:15" ht="15.6" customHeight="1">
      <c r="A10" s="1495"/>
      <c r="B10" s="1496"/>
      <c r="C10" s="1141"/>
      <c r="D10" s="1294"/>
      <c r="E10" s="767"/>
      <c r="F10" s="1266"/>
      <c r="G10" s="766"/>
      <c r="H10" s="1414"/>
      <c r="I10" s="241" t="e">
        <f>C10/'Units &amp; Income'!$C$16</f>
        <v>#DIV/0!</v>
      </c>
      <c r="J10" s="1144" t="e">
        <f t="shared" si="0"/>
        <v>#DIV/0!</v>
      </c>
      <c r="K10" s="564"/>
      <c r="M10" s="1432" t="s">
        <v>703</v>
      </c>
    </row>
    <row r="11" spans="1:15" ht="15.6" customHeight="1">
      <c r="A11" s="1495"/>
      <c r="B11" s="1496"/>
      <c r="C11" s="1141"/>
      <c r="D11" s="1294"/>
      <c r="E11" s="767"/>
      <c r="F11" s="1266"/>
      <c r="G11" s="766"/>
      <c r="H11" s="1414"/>
      <c r="I11" s="241" t="e">
        <f>C11/'Units &amp; Income'!$C$16</f>
        <v>#DIV/0!</v>
      </c>
      <c r="J11" s="1144" t="e">
        <f t="shared" si="0"/>
        <v>#DIV/0!</v>
      </c>
      <c r="K11" s="564"/>
      <c r="M11" s="1430"/>
    </row>
    <row r="12" spans="1:15" ht="15.6" customHeight="1">
      <c r="A12" s="1495"/>
      <c r="B12" s="1496"/>
      <c r="C12" s="1141"/>
      <c r="D12" s="1294"/>
      <c r="E12" s="767"/>
      <c r="F12" s="1266"/>
      <c r="G12" s="766"/>
      <c r="H12" s="1414"/>
      <c r="I12" s="241" t="e">
        <f>C12/'Units &amp; Income'!$C$16</f>
        <v>#DIV/0!</v>
      </c>
      <c r="J12" s="1144" t="e">
        <f t="shared" si="0"/>
        <v>#DIV/0!</v>
      </c>
      <c r="K12" s="564"/>
      <c r="M12" s="1430"/>
    </row>
    <row r="13" spans="1:15" ht="15.6" customHeight="1">
      <c r="A13" s="1495"/>
      <c r="B13" s="1496"/>
      <c r="C13" s="1141"/>
      <c r="D13" s="1294"/>
      <c r="E13" s="766"/>
      <c r="F13" s="1267"/>
      <c r="G13" s="766"/>
      <c r="H13" s="1414"/>
      <c r="I13" s="241" t="e">
        <f>C13/'Units &amp; Income'!$C$16</f>
        <v>#DIV/0!</v>
      </c>
      <c r="J13" s="1144" t="e">
        <f t="shared" si="0"/>
        <v>#DIV/0!</v>
      </c>
      <c r="K13" s="564"/>
      <c r="M13" s="1430"/>
    </row>
    <row r="14" spans="1:15" ht="15.6" customHeight="1">
      <c r="A14" s="1495"/>
      <c r="B14" s="1496"/>
      <c r="C14" s="1141"/>
      <c r="D14" s="1294"/>
      <c r="E14" s="766"/>
      <c r="F14" s="1267"/>
      <c r="G14" s="766"/>
      <c r="H14" s="1414"/>
      <c r="I14" s="241" t="e">
        <f>C14/'Units &amp; Income'!$C$16</f>
        <v>#DIV/0!</v>
      </c>
      <c r="J14" s="1144" t="e">
        <f t="shared" si="0"/>
        <v>#DIV/0!</v>
      </c>
      <c r="K14" s="564"/>
      <c r="M14" s="1430"/>
    </row>
    <row r="15" spans="1:15" ht="15.6" customHeight="1">
      <c r="A15" s="1495"/>
      <c r="B15" s="1496"/>
      <c r="C15" s="1141"/>
      <c r="D15" s="1294"/>
      <c r="E15" s="767"/>
      <c r="F15" s="1266"/>
      <c r="G15" s="766"/>
      <c r="H15" s="1414"/>
      <c r="I15" s="241" t="e">
        <f>C15/'Units &amp; Income'!$C$16</f>
        <v>#DIV/0!</v>
      </c>
      <c r="J15" s="1144" t="e">
        <f t="shared" si="0"/>
        <v>#DIV/0!</v>
      </c>
      <c r="K15" s="564"/>
      <c r="M15" s="1430"/>
    </row>
    <row r="16" spans="1:15" ht="15.6" customHeight="1">
      <c r="A16" s="1495"/>
      <c r="B16" s="1496"/>
      <c r="C16" s="1141"/>
      <c r="D16" s="1294"/>
      <c r="E16" s="767"/>
      <c r="F16" s="1266"/>
      <c r="G16" s="766"/>
      <c r="H16" s="1414"/>
      <c r="I16" s="241" t="e">
        <f>C16/'Units &amp; Income'!$C$16</f>
        <v>#DIV/0!</v>
      </c>
      <c r="J16" s="1144" t="e">
        <f t="shared" si="0"/>
        <v>#DIV/0!</v>
      </c>
      <c r="K16" s="564"/>
      <c r="N16" s="431"/>
    </row>
    <row r="17" spans="1:14" ht="15.6" customHeight="1">
      <c r="A17" s="1495"/>
      <c r="B17" s="1496"/>
      <c r="C17" s="1141"/>
      <c r="D17" s="1294"/>
      <c r="E17" s="767"/>
      <c r="F17" s="1266"/>
      <c r="G17" s="766"/>
      <c r="H17" s="1414"/>
      <c r="I17" s="241" t="e">
        <f>C17/'Units &amp; Income'!$C$16</f>
        <v>#DIV/0!</v>
      </c>
      <c r="J17" s="1144" t="e">
        <f t="shared" si="0"/>
        <v>#DIV/0!</v>
      </c>
      <c r="K17" s="564"/>
      <c r="N17" s="431"/>
    </row>
    <row r="18" spans="1:14" ht="15.6" customHeight="1">
      <c r="A18" s="1495"/>
      <c r="B18" s="1496"/>
      <c r="C18" s="1141"/>
      <c r="D18" s="1294"/>
      <c r="E18" s="767"/>
      <c r="F18" s="1266"/>
      <c r="G18" s="766"/>
      <c r="H18" s="1414"/>
      <c r="I18" s="241" t="e">
        <f>C18/'Units &amp; Income'!$C$16</f>
        <v>#DIV/0!</v>
      </c>
      <c r="J18" s="1144" t="e">
        <f t="shared" si="0"/>
        <v>#DIV/0!</v>
      </c>
      <c r="K18" s="564"/>
      <c r="N18" s="431"/>
    </row>
    <row r="19" spans="1:14" ht="15.6" customHeight="1">
      <c r="A19" s="1495"/>
      <c r="B19" s="1496"/>
      <c r="C19" s="1141"/>
      <c r="D19" s="1294"/>
      <c r="E19" s="767"/>
      <c r="F19" s="1266"/>
      <c r="G19" s="766"/>
      <c r="H19" s="1414"/>
      <c r="I19" s="241" t="e">
        <f>C19/'Units &amp; Income'!$C$16</f>
        <v>#DIV/0!</v>
      </c>
      <c r="J19" s="1144" t="e">
        <f t="shared" si="0"/>
        <v>#DIV/0!</v>
      </c>
      <c r="K19" s="564"/>
      <c r="N19" s="431"/>
    </row>
    <row r="20" spans="1:14" ht="15.6" customHeight="1">
      <c r="A20" s="1495"/>
      <c r="B20" s="1496"/>
      <c r="C20" s="1141"/>
      <c r="D20" s="1294"/>
      <c r="E20" s="767"/>
      <c r="F20" s="1266"/>
      <c r="G20" s="766"/>
      <c r="H20" s="1414"/>
      <c r="I20" s="241" t="e">
        <f>C20/'Units &amp; Income'!$C$16</f>
        <v>#DIV/0!</v>
      </c>
      <c r="J20" s="1144" t="e">
        <f t="shared" si="0"/>
        <v>#DIV/0!</v>
      </c>
      <c r="K20" s="564"/>
      <c r="N20" s="431"/>
    </row>
    <row r="21" spans="1:14" ht="15.6" customHeight="1">
      <c r="A21" s="1497"/>
      <c r="B21" s="1498"/>
      <c r="C21" s="1224"/>
      <c r="D21" s="1294"/>
      <c r="E21" s="1225"/>
      <c r="F21" s="1268"/>
      <c r="G21" s="1226"/>
      <c r="H21" s="1415"/>
      <c r="I21" s="1227" t="e">
        <f>C21/'Units &amp; Income'!$C$16</f>
        <v>#DIV/0!</v>
      </c>
      <c r="J21" s="1228" t="e">
        <f t="shared" si="0"/>
        <v>#DIV/0!</v>
      </c>
      <c r="K21" s="228"/>
      <c r="N21" s="431"/>
    </row>
    <row r="22" spans="1:14" ht="20.100000000000001" customHeight="1">
      <c r="A22" s="1229" t="s">
        <v>151</v>
      </c>
      <c r="B22" s="1230"/>
      <c r="C22" s="1231">
        <f>SUM(C7:C21)</f>
        <v>0</v>
      </c>
      <c r="D22" s="1232"/>
      <c r="E22" s="1232"/>
      <c r="F22" s="1232"/>
      <c r="G22" s="1232"/>
      <c r="H22" s="1232"/>
      <c r="I22" s="1233" t="e">
        <f>C22/'Units &amp; Income'!$C$16</f>
        <v>#DIV/0!</v>
      </c>
      <c r="J22" s="1234" t="e">
        <f>SUM(J7:J21)</f>
        <v>#DIV/0!</v>
      </c>
      <c r="K22" s="564"/>
      <c r="N22" s="431"/>
    </row>
    <row r="23" spans="1:14" ht="20.100000000000001" customHeight="1">
      <c r="A23" s="1421"/>
      <c r="B23" s="1422"/>
      <c r="C23" s="1423"/>
      <c r="D23" s="1422"/>
      <c r="E23" s="1422"/>
      <c r="F23" s="1422"/>
      <c r="G23" s="1422"/>
      <c r="H23" s="1422"/>
      <c r="I23" s="1424"/>
      <c r="J23" s="1425"/>
      <c r="K23" s="564"/>
      <c r="N23" s="431"/>
    </row>
    <row r="24" spans="1:14" ht="30" customHeight="1">
      <c r="A24" s="1505" t="s">
        <v>19</v>
      </c>
      <c r="B24" s="1506"/>
      <c r="C24" s="1387" t="s">
        <v>46</v>
      </c>
      <c r="D24" s="1388" t="s">
        <v>406</v>
      </c>
      <c r="E24" s="1388" t="s">
        <v>819</v>
      </c>
      <c r="F24" s="1388" t="s">
        <v>47</v>
      </c>
      <c r="G24" s="1388" t="s">
        <v>407</v>
      </c>
      <c r="H24" s="1388" t="s">
        <v>763</v>
      </c>
      <c r="I24" s="1387" t="s">
        <v>134</v>
      </c>
      <c r="J24" s="1389" t="s">
        <v>37</v>
      </c>
      <c r="K24" s="564"/>
      <c r="N24" s="431"/>
    </row>
    <row r="25" spans="1:14" ht="15.6" customHeight="1">
      <c r="A25" s="1501">
        <f>' Project Debt &amp; NOI'!D45</f>
        <v>0</v>
      </c>
      <c r="B25" s="1502"/>
      <c r="C25" s="1142">
        <f>' Project Debt &amp; NOI'!D46</f>
        <v>0</v>
      </c>
      <c r="D25" s="1293" t="s">
        <v>701</v>
      </c>
      <c r="E25" s="768">
        <f>' Project Debt &amp; NOI'!D48</f>
        <v>0</v>
      </c>
      <c r="F25" s="1265">
        <f>' Project Debt &amp; NOI'!D47</f>
        <v>0</v>
      </c>
      <c r="G25" s="1157">
        <v>1</v>
      </c>
      <c r="H25" s="1157" t="s">
        <v>813</v>
      </c>
      <c r="I25" s="241" t="e">
        <f>C25/'Units &amp; Income'!$C$16</f>
        <v>#DIV/0!</v>
      </c>
      <c r="J25" s="1144" t="e">
        <f>C25/C37</f>
        <v>#DIV/0!</v>
      </c>
      <c r="K25" s="564"/>
      <c r="N25" s="431"/>
    </row>
    <row r="26" spans="1:14" ht="15.6" customHeight="1">
      <c r="A26" s="1499">
        <f>' Project Debt &amp; NOI'!D56</f>
        <v>0</v>
      </c>
      <c r="B26" s="1500"/>
      <c r="C26" s="1264">
        <f>' Project Debt &amp; NOI'!D57</f>
        <v>0</v>
      </c>
      <c r="D26" s="1294" t="s">
        <v>701</v>
      </c>
      <c r="E26" s="768">
        <f>' Project Debt &amp; NOI'!D62</f>
        <v>0</v>
      </c>
      <c r="F26" s="1266"/>
      <c r="G26" s="766"/>
      <c r="H26" s="766"/>
      <c r="I26" s="241" t="e">
        <f>C26/'Units &amp; Income'!$C$16</f>
        <v>#DIV/0!</v>
      </c>
      <c r="J26" s="1144" t="e">
        <f t="shared" ref="J26:J36" si="1">C26/$C$37</f>
        <v>#DIV/0!</v>
      </c>
      <c r="K26" s="564"/>
      <c r="N26" s="431"/>
    </row>
    <row r="27" spans="1:14" ht="15.6" customHeight="1">
      <c r="A27" s="1499">
        <f>' Project Debt &amp; NOI'!D66</f>
        <v>0</v>
      </c>
      <c r="B27" s="1500"/>
      <c r="C27" s="1264">
        <f>' Project Debt &amp; NOI'!D67</f>
        <v>0</v>
      </c>
      <c r="D27" s="1294" t="s">
        <v>701</v>
      </c>
      <c r="E27" s="768">
        <f>' Project Debt &amp; NOI'!D72</f>
        <v>0</v>
      </c>
      <c r="F27" s="1266"/>
      <c r="G27" s="766"/>
      <c r="H27" s="766"/>
      <c r="I27" s="241" t="e">
        <f>C27/'Units &amp; Income'!$C$16</f>
        <v>#DIV/0!</v>
      </c>
      <c r="J27" s="1144" t="e">
        <f t="shared" si="1"/>
        <v>#DIV/0!</v>
      </c>
      <c r="K27" s="564"/>
      <c r="N27" s="429"/>
    </row>
    <row r="28" spans="1:14" ht="15.6" customHeight="1">
      <c r="A28" s="1499">
        <f>' Project Debt &amp; NOI'!D76</f>
        <v>0</v>
      </c>
      <c r="B28" s="1500"/>
      <c r="C28" s="1264">
        <f>' Project Debt &amp; NOI'!D77</f>
        <v>0</v>
      </c>
      <c r="D28" s="1294" t="s">
        <v>701</v>
      </c>
      <c r="E28" s="768">
        <f>' Project Debt &amp; NOI'!D82</f>
        <v>0</v>
      </c>
      <c r="F28" s="1266"/>
      <c r="G28" s="766"/>
      <c r="H28" s="766"/>
      <c r="I28" s="241" t="e">
        <f>C28/'Units &amp; Income'!$C$16</f>
        <v>#DIV/0!</v>
      </c>
      <c r="J28" s="1144" t="e">
        <f t="shared" si="1"/>
        <v>#DIV/0!</v>
      </c>
      <c r="K28" s="564"/>
      <c r="N28" s="431"/>
    </row>
    <row r="29" spans="1:14" ht="15.6" customHeight="1">
      <c r="A29" s="1499">
        <f>' Project Debt &amp; NOI'!D86</f>
        <v>0</v>
      </c>
      <c r="B29" s="1500"/>
      <c r="C29" s="1264">
        <f>' Project Debt &amp; NOI'!D87</f>
        <v>0</v>
      </c>
      <c r="D29" s="1294" t="s">
        <v>701</v>
      </c>
      <c r="E29" s="768">
        <f>' Project Debt &amp; NOI'!D92</f>
        <v>0</v>
      </c>
      <c r="F29" s="1266"/>
      <c r="G29" s="766"/>
      <c r="H29" s="766"/>
      <c r="I29" s="241" t="e">
        <f>C29/'Units &amp; Income'!$C$16</f>
        <v>#DIV/0!</v>
      </c>
      <c r="J29" s="1144" t="e">
        <f t="shared" si="1"/>
        <v>#DIV/0!</v>
      </c>
      <c r="K29" s="564"/>
      <c r="N29" s="431"/>
    </row>
    <row r="30" spans="1:14" ht="15.6" customHeight="1">
      <c r="A30" s="1495" t="str">
        <f>IF(G3&gt;0,"LIHTC Equity","")</f>
        <v/>
      </c>
      <c r="B30" s="1496"/>
      <c r="C30" s="1141"/>
      <c r="D30" s="1294"/>
      <c r="E30" s="767"/>
      <c r="F30" s="1266"/>
      <c r="G30" s="766"/>
      <c r="H30" s="766"/>
      <c r="I30" s="241" t="e">
        <f>C30/'Units &amp; Income'!$C$16</f>
        <v>#DIV/0!</v>
      </c>
      <c r="J30" s="1144" t="e">
        <f t="shared" si="1"/>
        <v>#DIV/0!</v>
      </c>
      <c r="K30" s="564"/>
      <c r="N30" s="431"/>
    </row>
    <row r="31" spans="1:14" ht="15.6" customHeight="1">
      <c r="A31" s="1495" t="str">
        <f>IF(G5&gt;0,"SLIHC Equity","")</f>
        <v/>
      </c>
      <c r="B31" s="1496"/>
      <c r="C31" s="1141"/>
      <c r="D31" s="1294"/>
      <c r="E31" s="767"/>
      <c r="F31" s="1266"/>
      <c r="G31" s="766"/>
      <c r="H31" s="766"/>
      <c r="I31" s="241" t="e">
        <f>C31/'Units &amp; Income'!$C$16</f>
        <v>#DIV/0!</v>
      </c>
      <c r="J31" s="1144" t="e">
        <f t="shared" si="1"/>
        <v>#DIV/0!</v>
      </c>
      <c r="K31" s="564"/>
      <c r="N31" s="431"/>
    </row>
    <row r="32" spans="1:14" ht="15.6" customHeight="1">
      <c r="A32" s="1495"/>
      <c r="B32" s="1496"/>
      <c r="C32" s="1141"/>
      <c r="D32" s="1294"/>
      <c r="E32" s="767"/>
      <c r="F32" s="1266"/>
      <c r="G32" s="766"/>
      <c r="H32" s="766"/>
      <c r="I32" s="241" t="e">
        <f>C32/'Units &amp; Income'!$C$16</f>
        <v>#DIV/0!</v>
      </c>
      <c r="J32" s="1144" t="e">
        <f t="shared" si="1"/>
        <v>#DIV/0!</v>
      </c>
      <c r="K32" s="564"/>
      <c r="N32" s="429"/>
    </row>
    <row r="33" spans="1:15" ht="15.6" customHeight="1">
      <c r="A33" s="1495"/>
      <c r="B33" s="1496"/>
      <c r="C33" s="1141"/>
      <c r="D33" s="1294"/>
      <c r="E33" s="767"/>
      <c r="F33" s="1266"/>
      <c r="G33" s="766"/>
      <c r="H33" s="766"/>
      <c r="I33" s="241" t="e">
        <f>C33/'Units &amp; Income'!$C$16</f>
        <v>#DIV/0!</v>
      </c>
      <c r="J33" s="1144" t="e">
        <f t="shared" si="1"/>
        <v>#DIV/0!</v>
      </c>
      <c r="K33" s="564"/>
      <c r="N33" s="429"/>
    </row>
    <row r="34" spans="1:15" ht="15.6" customHeight="1">
      <c r="A34" s="1495"/>
      <c r="B34" s="1496"/>
      <c r="C34" s="1141"/>
      <c r="D34" s="1294"/>
      <c r="E34" s="767"/>
      <c r="F34" s="1266"/>
      <c r="G34" s="766"/>
      <c r="H34" s="766"/>
      <c r="I34" s="241" t="e">
        <f>C34/'Units &amp; Income'!$C$16</f>
        <v>#DIV/0!</v>
      </c>
      <c r="J34" s="1144" t="e">
        <f t="shared" si="1"/>
        <v>#DIV/0!</v>
      </c>
      <c r="K34" s="564"/>
      <c r="N34" s="429"/>
    </row>
    <row r="35" spans="1:15" ht="15.6" customHeight="1">
      <c r="A35" s="1495"/>
      <c r="B35" s="1496"/>
      <c r="C35" s="1141"/>
      <c r="D35" s="1294"/>
      <c r="E35" s="767"/>
      <c r="F35" s="1266"/>
      <c r="G35" s="766"/>
      <c r="H35" s="766"/>
      <c r="I35" s="241" t="e">
        <f>C35/'Units &amp; Income'!$C$16</f>
        <v>#DIV/0!</v>
      </c>
      <c r="J35" s="1144" t="e">
        <f t="shared" si="1"/>
        <v>#DIV/0!</v>
      </c>
      <c r="K35" s="564"/>
      <c r="N35" s="429"/>
    </row>
    <row r="36" spans="1:15" ht="15.6" customHeight="1">
      <c r="A36" s="1497"/>
      <c r="B36" s="1498"/>
      <c r="C36" s="1224"/>
      <c r="D36" s="1295"/>
      <c r="E36" s="1235"/>
      <c r="F36" s="1266"/>
      <c r="G36" s="1226"/>
      <c r="H36" s="1226"/>
      <c r="I36" s="1227" t="e">
        <f>C36/'Units &amp; Income'!$C$16</f>
        <v>#DIV/0!</v>
      </c>
      <c r="J36" s="1228" t="e">
        <f t="shared" si="1"/>
        <v>#DIV/0!</v>
      </c>
      <c r="K36" s="564"/>
    </row>
    <row r="37" spans="1:15" ht="20.100000000000001" customHeight="1">
      <c r="A37" s="1229" t="s">
        <v>152</v>
      </c>
      <c r="B37" s="1230"/>
      <c r="C37" s="1231">
        <f>SUM(C25:C36)</f>
        <v>0</v>
      </c>
      <c r="D37" s="1232"/>
      <c r="E37" s="1232"/>
      <c r="F37" s="1232"/>
      <c r="G37" s="1232"/>
      <c r="H37" s="1232"/>
      <c r="I37" s="1233" t="e">
        <f>C37/'Units &amp; Income'!$C$16</f>
        <v>#DIV/0!</v>
      </c>
      <c r="J37" s="1234" t="e">
        <f>SUM(J25:J36)</f>
        <v>#DIV/0!</v>
      </c>
      <c r="K37" s="564"/>
      <c r="L37" s="432"/>
      <c r="M37" s="1431"/>
    </row>
    <row r="38" spans="1:15" ht="15.6" customHeight="1">
      <c r="A38" s="1236" t="s">
        <v>51</v>
      </c>
      <c r="B38" s="1237"/>
      <c r="C38" s="1238" t="s">
        <v>46</v>
      </c>
      <c r="D38" s="1239"/>
      <c r="E38" s="1239"/>
      <c r="F38" s="1239"/>
      <c r="G38" s="1239"/>
      <c r="H38" s="1239"/>
      <c r="I38" s="1158"/>
      <c r="J38" s="1240"/>
      <c r="K38" s="564"/>
    </row>
    <row r="39" spans="1:15" ht="15.6" customHeight="1">
      <c r="A39" s="1160" t="s">
        <v>109</v>
      </c>
      <c r="B39" s="1161"/>
      <c r="C39" s="1162">
        <f>'Development Budget'!C12</f>
        <v>0</v>
      </c>
      <c r="D39" s="1163"/>
      <c r="E39" s="1163"/>
      <c r="F39" s="1163"/>
      <c r="G39" s="1163"/>
      <c r="H39" s="1163"/>
      <c r="I39" s="1158" t="e">
        <f>C39/'Units &amp; Income'!$C$16</f>
        <v>#DIV/0!</v>
      </c>
      <c r="J39" s="1164" t="e">
        <f>C39/$C$44</f>
        <v>#DIV/0!</v>
      </c>
      <c r="K39" s="564"/>
    </row>
    <row r="40" spans="1:15" ht="15.6" customHeight="1">
      <c r="A40" s="1145" t="s">
        <v>132</v>
      </c>
      <c r="B40" s="1138"/>
      <c r="C40" s="1143">
        <f>'Development Budget'!C33</f>
        <v>0</v>
      </c>
      <c r="D40" s="769"/>
      <c r="E40" s="769"/>
      <c r="F40" s="769"/>
      <c r="G40" s="769"/>
      <c r="H40" s="769"/>
      <c r="I40" s="241" t="e">
        <f>C40/'Units &amp; Income'!$C$16</f>
        <v>#DIV/0!</v>
      </c>
      <c r="J40" s="1146" t="e">
        <f>C40/$C$44</f>
        <v>#DIV/0!</v>
      </c>
      <c r="K40" s="564"/>
    </row>
    <row r="41" spans="1:15" ht="15.6" customHeight="1">
      <c r="A41" s="1147" t="s">
        <v>53</v>
      </c>
      <c r="B41" s="1139"/>
      <c r="C41" s="1143">
        <f>'Development Budget'!C71</f>
        <v>0</v>
      </c>
      <c r="D41" s="770"/>
      <c r="E41" s="770"/>
      <c r="F41" s="770"/>
      <c r="G41" s="770"/>
      <c r="H41" s="770"/>
      <c r="I41" s="241" t="e">
        <f>C41/'Units &amp; Income'!$C$16</f>
        <v>#DIV/0!</v>
      </c>
      <c r="J41" s="1146" t="e">
        <f>C41/$C$44</f>
        <v>#DIV/0!</v>
      </c>
      <c r="K41" s="564"/>
    </row>
    <row r="42" spans="1:15" ht="15.6" customHeight="1">
      <c r="A42" s="1148" t="s">
        <v>656</v>
      </c>
      <c r="B42" s="1140"/>
      <c r="C42" s="1143">
        <f>'Development Budget'!C74+'Development Budget'!C75</f>
        <v>0</v>
      </c>
      <c r="D42" s="771"/>
      <c r="E42" s="771"/>
      <c r="F42" s="771"/>
      <c r="G42" s="771"/>
      <c r="H42" s="771"/>
      <c r="I42" s="241" t="e">
        <f>C42/'Units &amp; Income'!$C$16</f>
        <v>#DIV/0!</v>
      </c>
      <c r="J42" s="1146" t="e">
        <f>C42/$C$44</f>
        <v>#DIV/0!</v>
      </c>
      <c r="K42" s="564"/>
    </row>
    <row r="43" spans="1:15" ht="15.6" customHeight="1">
      <c r="A43" s="1147" t="s">
        <v>133</v>
      </c>
      <c r="B43" s="1139"/>
      <c r="C43" s="1143">
        <f>'Development Budget'!C73</f>
        <v>0</v>
      </c>
      <c r="D43" s="770"/>
      <c r="E43" s="770"/>
      <c r="F43" s="770"/>
      <c r="G43" s="770"/>
      <c r="H43" s="770"/>
      <c r="I43" s="241" t="e">
        <f>C43/'Units &amp; Income'!$C$16</f>
        <v>#DIV/0!</v>
      </c>
      <c r="J43" s="1146" t="e">
        <f>C43/$C$44</f>
        <v>#DIV/0!</v>
      </c>
      <c r="K43" s="564"/>
      <c r="O43" s="5"/>
    </row>
    <row r="44" spans="1:15" ht="20.100000000000001" customHeight="1">
      <c r="A44" s="1149" t="s">
        <v>153</v>
      </c>
      <c r="B44" s="1150"/>
      <c r="C44" s="1151">
        <f>SUM(C39:C43)</f>
        <v>0</v>
      </c>
      <c r="D44" s="1152"/>
      <c r="E44" s="1152"/>
      <c r="F44" s="1152"/>
      <c r="G44" s="1152"/>
      <c r="H44" s="1152"/>
      <c r="I44" s="1153" t="e">
        <f>C44/'Units &amp; Income'!$C$16</f>
        <v>#DIV/0!</v>
      </c>
      <c r="J44" s="1154" t="e">
        <f>SUM(J39:J43)</f>
        <v>#DIV/0!</v>
      </c>
      <c r="K44" s="564"/>
    </row>
    <row r="45" spans="1:15" ht="15.6" customHeight="1">
      <c r="A45" s="607"/>
      <c r="B45" s="264"/>
      <c r="C45" s="264"/>
      <c r="D45" s="264"/>
      <c r="E45" s="264"/>
      <c r="F45" s="264"/>
      <c r="G45" s="264"/>
      <c r="H45" s="264"/>
      <c r="I45" s="88"/>
      <c r="J45" s="430"/>
      <c r="K45" s="433"/>
    </row>
    <row r="47" spans="1:15" ht="15.6" customHeight="1">
      <c r="A47" s="89"/>
      <c r="B47" s="89"/>
      <c r="C47" s="89"/>
      <c r="D47" s="89"/>
      <c r="E47" s="89"/>
      <c r="F47" s="89"/>
      <c r="G47" s="89"/>
      <c r="I47" s="1"/>
      <c r="J47" s="1"/>
      <c r="K47" s="1"/>
      <c r="L47" s="1"/>
      <c r="M47" s="1429"/>
      <c r="N47" s="1"/>
    </row>
    <row r="48" spans="1:15" ht="15.6" customHeight="1">
      <c r="A48" s="89"/>
      <c r="B48" s="89"/>
      <c r="C48" s="89"/>
      <c r="D48" s="89"/>
      <c r="E48" s="89"/>
      <c r="F48" s="89"/>
      <c r="G48" s="89"/>
      <c r="H48" s="5"/>
      <c r="I48" s="1"/>
      <c r="J48" s="1"/>
      <c r="K48" s="1"/>
      <c r="L48" s="1"/>
      <c r="M48" s="1429"/>
      <c r="N48" s="1"/>
    </row>
    <row r="49" spans="1:14" ht="15.6" customHeight="1">
      <c r="A49" s="89"/>
      <c r="B49" s="89"/>
      <c r="C49" s="89"/>
      <c r="D49" s="89"/>
      <c r="E49" s="89"/>
      <c r="F49" s="89"/>
      <c r="G49" s="89"/>
      <c r="I49" s="1"/>
      <c r="J49" s="1"/>
      <c r="K49" s="1"/>
      <c r="L49" s="1"/>
      <c r="M49" s="1429"/>
      <c r="N49" s="1"/>
    </row>
    <row r="62" spans="1:14" ht="15.6" customHeight="1">
      <c r="A62" s="920"/>
    </row>
  </sheetData>
  <sheetProtection algorithmName="SHA-512" hashValue="VvB/kOWNyLaQWlxOfc3hb0JkLc1tNLv0+rm+z69vkY4ipJJTe4YoEU1XdURrScYOm1xsXBHYo+YjgvRhUvxOWA==" saltValue="TDeNcVAD+QST+J1J280xEw==" spinCount="100000" sheet="1" objects="1" scenarios="1"/>
  <customSheetViews>
    <customSheetView guid="{25C4E7E7-1006-4A2D-BC83-AEE4ADF8A914}" scale="75" colorId="22" showPageBreaks="1" printArea="1" hiddenRows="1" showRuler="0">
      <selection activeCell="A33" sqref="A33"/>
      <pageMargins left="0.75" right="0.5" top="0.75" bottom="0.5" header="0.5" footer="0.5"/>
      <pageSetup scale="90" orientation="landscape" r:id="rId1"/>
      <headerFooter alignWithMargins="0"/>
    </customSheetView>
    <customSheetView guid="{28F81D13-D146-4D67-8981-BA5D7A496326}" scale="87" colorId="22" showPageBreaks="1" printArea="1" showRuler="0" topLeftCell="A7">
      <selection activeCell="H12" sqref="H12"/>
      <pageMargins left="0.5" right="0.5" top="0.5" bottom="0.5" header="0.5" footer="0.5"/>
      <pageSetup scale="96" orientation="landscape" r:id="rId2"/>
      <headerFooter alignWithMargins="0"/>
    </customSheetView>
    <customSheetView guid="{AEA5979F-5357-4ED6-A6CA-1BB80F5C7A74}" scale="87" colorId="22" showPageBreaks="1" printArea="1" showRuler="0">
      <selection activeCell="A21" sqref="A21"/>
      <pageMargins left="0.5" right="0.5" top="0.5" bottom="0.5" header="0.5" footer="0.5"/>
      <pageSetup scale="96" orientation="landscape" r:id="rId3"/>
      <headerFooter alignWithMargins="0"/>
    </customSheetView>
    <customSheetView guid="{EB776EFC-3589-4DB5-BEAF-1E83D9703F9E}" scale="87" colorId="22" showRuler="0" topLeftCell="A8">
      <selection activeCell="H21" sqref="H21"/>
      <pageMargins left="0.5" right="0.5" top="0.5" bottom="0.5" header="0.5" footer="0.5"/>
      <pageSetup orientation="landscape" r:id="rId4"/>
      <headerFooter alignWithMargins="0"/>
    </customSheetView>
    <customSheetView guid="{FBB4BF8E-8A9F-4E98-A6F9-5F9BF4C55C67}" scale="87" colorId="22" showPageBreaks="1" showRuler="0" topLeftCell="C5">
      <selection activeCell="I16" sqref="I16"/>
      <pageMargins left="0.5" right="0.5" top="0.5" bottom="0.5" header="0.5" footer="0.5"/>
      <pageSetup orientation="landscape" r:id="rId5"/>
      <headerFooter alignWithMargins="0"/>
    </customSheetView>
    <customSheetView guid="{6EF643BE-69F3-424E-8A44-3890161370D4}" scale="87" colorId="22" showPageBreaks="1" printArea="1" showRuler="0" topLeftCell="A4">
      <selection activeCell="H13" sqref="H13"/>
      <pageMargins left="0.5" right="0.5" top="0.5" bottom="0.5" header="0.5" footer="0.5"/>
      <pageSetup scale="96" orientation="landscape" r:id="rId6"/>
      <headerFooter alignWithMargins="0"/>
    </customSheetView>
    <customSheetView guid="{1ECE83C7-A3CE-4F97-BFD3-498FF783C0D9}" scale="75" colorId="22" showPageBreaks="1" printArea="1" showRuler="0" topLeftCell="A17">
      <selection activeCell="H29" sqref="H29"/>
      <pageMargins left="0.75" right="0.5" top="0.75" bottom="0.5" header="0.5" footer="0.5"/>
      <pageSetup scale="90" orientation="landscape" r:id="rId7"/>
      <headerFooter alignWithMargins="0"/>
    </customSheetView>
    <customSheetView guid="{560D4AFA-61E5-46C3-B0CD-D0EB3053A033}" scale="75" colorId="22" showPageBreaks="1" printArea="1" hiddenRows="1" showRuler="0">
      <selection activeCell="B7" sqref="B7:B14"/>
      <pageMargins left="0.75" right="0.5" top="0.75" bottom="0.5" header="0.5" footer="0.5"/>
      <pageSetup scale="90" orientation="landscape" r:id="rId8"/>
      <headerFooter alignWithMargins="0"/>
    </customSheetView>
  </customSheetViews>
  <mergeCells count="31">
    <mergeCell ref="A6:B6"/>
    <mergeCell ref="A24:B24"/>
    <mergeCell ref="A26:B26"/>
    <mergeCell ref="A27:B27"/>
    <mergeCell ref="A28:B28"/>
    <mergeCell ref="A7:B7"/>
    <mergeCell ref="A8:B8"/>
    <mergeCell ref="A9:B9"/>
    <mergeCell ref="A10:B10"/>
    <mergeCell ref="A15:B15"/>
    <mergeCell ref="A16:B16"/>
    <mergeCell ref="A11:B11"/>
    <mergeCell ref="A12:B12"/>
    <mergeCell ref="A13:B13"/>
    <mergeCell ref="A14:B14"/>
    <mergeCell ref="B2:D2"/>
    <mergeCell ref="B3:D3"/>
    <mergeCell ref="A35:B35"/>
    <mergeCell ref="A36:B36"/>
    <mergeCell ref="A17:B17"/>
    <mergeCell ref="A18:B18"/>
    <mergeCell ref="A19:B19"/>
    <mergeCell ref="A20:B20"/>
    <mergeCell ref="A21:B21"/>
    <mergeCell ref="A30:B30"/>
    <mergeCell ref="A29:B29"/>
    <mergeCell ref="A31:B31"/>
    <mergeCell ref="A32:B32"/>
    <mergeCell ref="A33:B33"/>
    <mergeCell ref="A34:B34"/>
    <mergeCell ref="A25:B25"/>
  </mergeCells>
  <phoneticPr fontId="0" type="noConversion"/>
  <dataValidations xWindow="374" yWindow="280" count="6">
    <dataValidation type="list" allowBlank="1" showInputMessage="1" showErrorMessage="1" sqref="D25:D36 D7:D21" xr:uid="{9DB02ADC-FAFE-4259-9CB5-EC7743D812A0}">
      <formula1>$M$7:$M$10</formula1>
    </dataValidation>
    <dataValidation type="whole" operator="greaterThan" allowBlank="1" showErrorMessage="1" promptTitle="Annual LIHTC Request" sqref="G3" xr:uid="{C4D32AF5-4B0E-4D31-8F9F-266FC524DC83}">
      <formula1>50000</formula1>
    </dataValidation>
    <dataValidation allowBlank="1" showErrorMessage="1" promptTitle="Annual SLIHC Request" sqref="G5" xr:uid="{AFC7584A-46DB-43D9-AE15-F9D859EF9D46}"/>
    <dataValidation type="whole" allowBlank="1" showErrorMessage="1" sqref="A5" xr:uid="{D2B16C59-F1D0-4B69-8BC8-90F6BF65CE68}">
      <formula1>75000</formula1>
      <formula2>4000000</formula2>
    </dataValidation>
    <dataValidation type="decimal" operator="lessThan" allowBlank="1" showErrorMessage="1" promptTitle="LIHTC Pay-in" sqref="I5 I3" xr:uid="{8C9E58D1-EE3C-4C38-A13E-B284AF2D1B39}">
      <formula1>1.2</formula1>
    </dataValidation>
    <dataValidation operator="lessThan" allowBlank="1" showErrorMessage="1" promptTitle="LIHTC Pay-in" sqref="J5 J3" xr:uid="{B82702BA-CDB4-41C4-B576-E2F8460E8A8B}"/>
  </dataValidations>
  <pageMargins left="0.7" right="0.5" top="0.75" bottom="0.25" header="0.5" footer="0.5"/>
  <pageSetup scale="68" firstPageNumber="206" fitToHeight="0" orientation="portrait" useFirstPageNumber="1" r:id="rId9"/>
  <headerFooter alignWithMargins="0">
    <oddHeader>&amp;CAttachment C</oddHeader>
  </headerFooter>
  <legacy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ColWidth="8.6640625"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00C05-E814-4163-B7E3-C0F8E0951842}">
  <sheetPr codeName="Sheet9"/>
  <dimension ref="A1:AW78"/>
  <sheetViews>
    <sheetView workbookViewId="0"/>
  </sheetViews>
  <sheetFormatPr defaultColWidth="8.88671875" defaultRowHeight="15.75"/>
  <cols>
    <col min="1" max="1" width="23.88671875" style="8" customWidth="1"/>
    <col min="2" max="2" width="12.5546875" style="8" bestFit="1" customWidth="1"/>
    <col min="3" max="4" width="12.88671875" style="8" customWidth="1"/>
    <col min="5" max="5" width="9" style="8" customWidth="1"/>
    <col min="6" max="6" width="18" style="8" customWidth="1"/>
    <col min="7" max="12" width="9" style="8" customWidth="1"/>
    <col min="13" max="13" width="33.109375" style="8" customWidth="1"/>
    <col min="14" max="14" width="14.88671875" style="8" bestFit="1" customWidth="1"/>
    <col min="15" max="15" width="12.88671875" style="8" bestFit="1" customWidth="1"/>
    <col min="16" max="16" width="11.6640625" style="8" customWidth="1"/>
    <col min="17" max="17" width="23.44140625" style="8" customWidth="1"/>
    <col min="18" max="18" width="13.88671875" style="8" bestFit="1" customWidth="1"/>
    <col min="19" max="21" width="13.109375" style="8" bestFit="1" customWidth="1"/>
    <col min="22" max="22" width="13.88671875" style="8" bestFit="1" customWidth="1"/>
    <col min="23" max="24" width="13.109375" style="8" bestFit="1" customWidth="1"/>
    <col min="25" max="25" width="18.88671875" style="8" customWidth="1"/>
    <col min="26" max="44" width="13.109375" style="8" bestFit="1" customWidth="1"/>
    <col min="45" max="48" width="12.88671875" style="8" bestFit="1" customWidth="1"/>
    <col min="49" max="16384" width="8.88671875" style="8"/>
  </cols>
  <sheetData>
    <row r="1" spans="1:22">
      <c r="A1" s="43"/>
      <c r="B1" s="43"/>
      <c r="C1" s="43"/>
      <c r="D1" s="43"/>
      <c r="E1" s="43"/>
      <c r="F1" s="43"/>
      <c r="G1" s="43"/>
      <c r="H1" s="43"/>
      <c r="I1" s="43"/>
      <c r="J1" s="43"/>
      <c r="K1" s="43"/>
    </row>
    <row r="2" spans="1:22">
      <c r="A2" s="8" t="s">
        <v>322</v>
      </c>
      <c r="M2" s="39" t="s">
        <v>20</v>
      </c>
      <c r="N2" s="39"/>
      <c r="O2" s="39" t="s">
        <v>134</v>
      </c>
      <c r="Q2" s="8" t="s">
        <v>307</v>
      </c>
      <c r="S2" s="8" t="s">
        <v>134</v>
      </c>
      <c r="U2" s="8" t="s">
        <v>336</v>
      </c>
    </row>
    <row r="3" spans="1:22" ht="16.5" thickBot="1">
      <c r="M3" s="8">
        <f>'Sources and Uses'!A7</f>
        <v>0</v>
      </c>
      <c r="N3" s="44">
        <f>+'Sources and Uses'!C7</f>
        <v>0</v>
      </c>
      <c r="O3" s="45" t="e">
        <f t="shared" ref="O3:O18" si="0">+N3/$G$12</f>
        <v>#DIV/0!</v>
      </c>
      <c r="Q3" s="4" t="s">
        <v>308</v>
      </c>
      <c r="R3" s="46" t="str">
        <f>+'Units &amp; Income'!N79</f>
        <v/>
      </c>
      <c r="S3" s="46" t="e">
        <f>+R3/$H$20</f>
        <v>#VALUE!</v>
      </c>
    </row>
    <row r="4" spans="1:22">
      <c r="A4" s="8" t="s">
        <v>281</v>
      </c>
      <c r="B4" s="8" t="str">
        <f>+'Sources and Uses'!A4</f>
        <v>Project County:</v>
      </c>
      <c r="F4" s="47" t="s">
        <v>293</v>
      </c>
      <c r="G4" s="32" t="s">
        <v>15</v>
      </c>
      <c r="H4" s="32" t="s">
        <v>63</v>
      </c>
      <c r="I4" s="32"/>
      <c r="J4" s="33"/>
      <c r="M4" s="48" t="str">
        <f>'Sources and Uses'!A8</f>
        <v/>
      </c>
      <c r="N4" s="49">
        <f>+'Sources and Uses'!C8</f>
        <v>0</v>
      </c>
      <c r="O4" s="45" t="e">
        <f t="shared" si="0"/>
        <v>#DIV/0!</v>
      </c>
      <c r="Q4" s="4" t="s">
        <v>309</v>
      </c>
      <c r="R4" s="50">
        <f>+'Units &amp; Income'!E40</f>
        <v>0</v>
      </c>
      <c r="S4" s="4" t="e">
        <f>+R4/B10</f>
        <v>#DIV/0!</v>
      </c>
      <c r="T4" s="8" t="s">
        <v>349</v>
      </c>
      <c r="U4" s="8" t="s">
        <v>327</v>
      </c>
      <c r="V4" s="45" t="e">
        <f>+#REF!</f>
        <v>#REF!</v>
      </c>
    </row>
    <row r="5" spans="1:22">
      <c r="F5" s="34" t="str">
        <f>'Units &amp; Income'!A9</f>
        <v>Studio</v>
      </c>
      <c r="G5" s="11">
        <f>'Units &amp; Income'!C9</f>
        <v>0</v>
      </c>
      <c r="H5" s="38">
        <f>'Units &amp; Income'!F9</f>
        <v>0</v>
      </c>
      <c r="I5" s="11"/>
      <c r="J5" s="35"/>
      <c r="M5" s="8" t="e">
        <f>M22</f>
        <v>#REF!</v>
      </c>
      <c r="N5" s="45" t="e">
        <f>B66</f>
        <v>#REF!</v>
      </c>
      <c r="O5" s="45" t="e">
        <f t="shared" si="0"/>
        <v>#REF!</v>
      </c>
      <c r="Q5" s="4" t="s">
        <v>310</v>
      </c>
      <c r="R5" s="51">
        <f>+SUMPRODUCT($F$15:$F$19,$J$7:$J$11)</f>
        <v>0</v>
      </c>
      <c r="S5" s="4"/>
      <c r="U5" s="8" t="e">
        <f t="shared" ref="U5:V8" si="1">+M22</f>
        <v>#REF!</v>
      </c>
      <c r="V5" s="45" t="e">
        <f t="shared" si="1"/>
        <v>#REF!</v>
      </c>
    </row>
    <row r="6" spans="1:22">
      <c r="A6" s="8" t="s">
        <v>380</v>
      </c>
      <c r="F6" s="34" t="str">
        <f>'Units &amp; Income'!A10</f>
        <v>1 Bedroom</v>
      </c>
      <c r="G6" s="11">
        <f>'Units &amp; Income'!C10</f>
        <v>0</v>
      </c>
      <c r="H6" s="38">
        <f>'Units &amp; Income'!F10</f>
        <v>0</v>
      </c>
      <c r="I6" s="11"/>
      <c r="J6" s="35"/>
      <c r="M6" s="8" t="e">
        <f>M23</f>
        <v>#REF!</v>
      </c>
      <c r="N6" s="45" t="e">
        <f>B67</f>
        <v>#REF!</v>
      </c>
      <c r="O6" s="45" t="e">
        <f t="shared" si="0"/>
        <v>#REF!</v>
      </c>
      <c r="Q6" s="4" t="s">
        <v>311</v>
      </c>
      <c r="R6" s="51" t="e">
        <f>+SUMPRODUCT('WIP_Scenario Output 1'!$I$7:$I$11,'WIP_Scenario Output 1'!$H$15:$H$19)/SUM('WIP_Scenario Output 1'!$H$15:$H$19)</f>
        <v>#DIV/0!</v>
      </c>
      <c r="S6" s="4"/>
      <c r="U6" s="8" t="e">
        <f t="shared" si="1"/>
        <v>#REF!</v>
      </c>
      <c r="V6" s="45" t="e">
        <f t="shared" si="1"/>
        <v>#REF!</v>
      </c>
    </row>
    <row r="7" spans="1:22">
      <c r="F7" s="34" t="str">
        <f>'Units &amp; Income'!A11</f>
        <v>2 Bedroom</v>
      </c>
      <c r="G7" s="11">
        <f>'Units &amp; Income'!C11</f>
        <v>0</v>
      </c>
      <c r="H7" s="38">
        <f>'Units &amp; Income'!F11</f>
        <v>0</v>
      </c>
      <c r="I7" s="11"/>
      <c r="J7" s="35"/>
      <c r="M7" s="8" t="e">
        <f>M24</f>
        <v>#REF!</v>
      </c>
      <c r="N7" s="45" t="e">
        <f>B68</f>
        <v>#REF!</v>
      </c>
      <c r="O7" s="45" t="e">
        <f t="shared" si="0"/>
        <v>#REF!</v>
      </c>
      <c r="R7" s="45"/>
      <c r="U7" s="8" t="e">
        <f t="shared" si="1"/>
        <v>#REF!</v>
      </c>
      <c r="V7" s="45" t="e">
        <f t="shared" si="1"/>
        <v>#REF!</v>
      </c>
    </row>
    <row r="8" spans="1:22">
      <c r="A8" s="8" t="s">
        <v>64</v>
      </c>
      <c r="F8" s="34" t="str">
        <f>'Units &amp; Income'!A12</f>
        <v>3 Bedroom</v>
      </c>
      <c r="G8" s="11">
        <f>'Units &amp; Income'!C12</f>
        <v>0</v>
      </c>
      <c r="H8" s="38">
        <f>'Units &amp; Income'!F12</f>
        <v>0</v>
      </c>
      <c r="I8" s="11"/>
      <c r="J8" s="35"/>
      <c r="M8" s="8" t="e">
        <f>M25</f>
        <v>#REF!</v>
      </c>
      <c r="N8" s="45" t="e">
        <f>B69</f>
        <v>#REF!</v>
      </c>
      <c r="O8" s="45" t="e">
        <f t="shared" si="0"/>
        <v>#REF!</v>
      </c>
      <c r="U8" s="8" t="e">
        <f t="shared" si="1"/>
        <v>#REF!</v>
      </c>
      <c r="V8" s="45" t="e">
        <f t="shared" si="1"/>
        <v>#REF!</v>
      </c>
    </row>
    <row r="9" spans="1:22">
      <c r="A9" s="8" t="s">
        <v>316</v>
      </c>
      <c r="B9" s="9">
        <f>+'Units &amp; Income'!C20</f>
        <v>0</v>
      </c>
      <c r="F9" s="34" t="str">
        <f>'Units &amp; Income'!A13</f>
        <v>4 Bedroom</v>
      </c>
      <c r="G9" s="11">
        <f>'Units &amp; Income'!C13</f>
        <v>0</v>
      </c>
      <c r="H9" s="38">
        <f>'Units &amp; Income'!F13</f>
        <v>0</v>
      </c>
      <c r="I9" s="11"/>
      <c r="J9" s="35"/>
      <c r="M9" s="52">
        <f>A73</f>
        <v>0</v>
      </c>
      <c r="N9" s="45">
        <f>C73</f>
        <v>0</v>
      </c>
      <c r="O9" s="45" t="e">
        <f t="shared" si="0"/>
        <v>#DIV/0!</v>
      </c>
      <c r="Q9" s="8" t="s">
        <v>312</v>
      </c>
    </row>
    <row r="10" spans="1:22">
      <c r="A10" s="8" t="s">
        <v>21</v>
      </c>
      <c r="B10" s="9">
        <f>+'Units &amp; Income'!C21</f>
        <v>0</v>
      </c>
      <c r="F10" s="34" t="str">
        <f>'Units &amp; Income'!A14</f>
        <v>Subtotal</v>
      </c>
      <c r="G10" s="11">
        <f>'Units &amp; Income'!C14</f>
        <v>0</v>
      </c>
      <c r="H10" s="11"/>
      <c r="I10" s="11"/>
      <c r="J10" s="35"/>
      <c r="M10" s="52">
        <f>A74</f>
        <v>0</v>
      </c>
      <c r="N10" s="45">
        <f>C74</f>
        <v>0</v>
      </c>
      <c r="O10" s="45" t="e">
        <f t="shared" si="0"/>
        <v>#DIV/0!</v>
      </c>
      <c r="Q10" s="8" t="s">
        <v>313</v>
      </c>
      <c r="R10" s="45">
        <f>SUM(B19:B21,B16:B17)</f>
        <v>0</v>
      </c>
      <c r="S10" s="45" t="e">
        <f>+R10/$H$20</f>
        <v>#DIV/0!</v>
      </c>
    </row>
    <row r="11" spans="1:22">
      <c r="A11" s="8" t="s">
        <v>340</v>
      </c>
      <c r="B11" s="9">
        <f>+'Units &amp; Income'!C22</f>
        <v>0</v>
      </c>
      <c r="F11" s="34" t="str">
        <f>'Units &amp; Income'!A15</f>
        <v>Super's Unit</v>
      </c>
      <c r="G11" s="11">
        <f>'Units &amp; Income'!C15</f>
        <v>0</v>
      </c>
      <c r="H11" s="38">
        <f>'Units &amp; Income'!F15</f>
        <v>0</v>
      </c>
      <c r="I11" s="11"/>
      <c r="J11" s="35"/>
      <c r="M11" s="52">
        <f>A75</f>
        <v>0</v>
      </c>
      <c r="N11" s="45">
        <f>C75</f>
        <v>0</v>
      </c>
      <c r="O11" s="45" t="e">
        <f t="shared" si="0"/>
        <v>#DIV/0!</v>
      </c>
      <c r="Q11" s="8" t="s">
        <v>314</v>
      </c>
      <c r="R11" s="45">
        <f>+B18</f>
        <v>0</v>
      </c>
      <c r="S11" s="45" t="e">
        <f>+R11/$H$20</f>
        <v>#DIV/0!</v>
      </c>
    </row>
    <row r="12" spans="1:22">
      <c r="A12" s="8" t="s">
        <v>33</v>
      </c>
      <c r="B12" s="9" t="e">
        <f>+'Units &amp; Income'!#REF!</f>
        <v>#REF!</v>
      </c>
      <c r="F12" s="34" t="str">
        <f>'Units &amp; Income'!A16</f>
        <v>Total</v>
      </c>
      <c r="G12" s="11">
        <f>'Units &amp; Income'!C16</f>
        <v>0</v>
      </c>
      <c r="H12" s="11"/>
      <c r="I12" s="11"/>
      <c r="J12" s="35"/>
      <c r="M12" s="52">
        <f>A76</f>
        <v>0</v>
      </c>
      <c r="N12" s="45">
        <f>C76</f>
        <v>0</v>
      </c>
      <c r="O12" s="45" t="e">
        <f t="shared" si="0"/>
        <v>#DIV/0!</v>
      </c>
      <c r="Q12" s="8" t="s">
        <v>1</v>
      </c>
      <c r="R12" s="45">
        <f>SUM(R10:R11)</f>
        <v>0</v>
      </c>
      <c r="S12" s="45" t="e">
        <f>SUM(S10:S11)</f>
        <v>#DIV/0!</v>
      </c>
    </row>
    <row r="13" spans="1:22">
      <c r="A13" s="8" t="s">
        <v>1</v>
      </c>
      <c r="B13" s="8" t="e">
        <f>SUM(B9:B12)</f>
        <v>#REF!</v>
      </c>
      <c r="F13" s="34"/>
      <c r="G13" s="11"/>
      <c r="H13" s="11"/>
      <c r="I13" s="11"/>
      <c r="J13" s="35"/>
      <c r="M13" s="52">
        <f>A77</f>
        <v>0</v>
      </c>
      <c r="N13" s="45">
        <f>C77</f>
        <v>0</v>
      </c>
      <c r="O13" s="45" t="e">
        <f t="shared" si="0"/>
        <v>#DIV/0!</v>
      </c>
    </row>
    <row r="14" spans="1:22">
      <c r="A14" s="53"/>
      <c r="B14" s="53"/>
      <c r="C14" s="53"/>
      <c r="D14" s="53"/>
      <c r="F14" s="34" t="s">
        <v>321</v>
      </c>
      <c r="G14" s="11" t="s">
        <v>353</v>
      </c>
      <c r="H14" s="36" t="s">
        <v>15</v>
      </c>
      <c r="I14" s="36" t="s">
        <v>354</v>
      </c>
      <c r="J14" s="37" t="s">
        <v>355</v>
      </c>
      <c r="M14" s="8">
        <f>'Sources and Uses'!A13</f>
        <v>0</v>
      </c>
      <c r="N14" s="45" t="e">
        <f>N48</f>
        <v>#REF!</v>
      </c>
      <c r="O14" s="45" t="e">
        <f t="shared" si="0"/>
        <v>#REF!</v>
      </c>
      <c r="Q14" s="8" t="s">
        <v>315</v>
      </c>
    </row>
    <row r="15" spans="1:22">
      <c r="A15" s="8" t="s">
        <v>312</v>
      </c>
      <c r="F15" s="54">
        <f>'Units &amp; Income'!C44</f>
        <v>0</v>
      </c>
      <c r="G15" s="38" t="str">
        <f>'Units &amp; Income'!A44</f>
        <v>Studio</v>
      </c>
      <c r="H15" s="38">
        <f>'Units &amp; Income'!D44</f>
        <v>0</v>
      </c>
      <c r="I15" s="11">
        <f>'Units &amp; Income'!H44</f>
        <v>0</v>
      </c>
      <c r="J15" s="35">
        <f>'Units &amp; Income'!I44</f>
        <v>0</v>
      </c>
      <c r="M15" s="8">
        <f>'Sources and Uses'!A14</f>
        <v>0</v>
      </c>
      <c r="N15" s="45" t="e">
        <f>N51</f>
        <v>#REF!</v>
      </c>
      <c r="O15" s="45" t="e">
        <f t="shared" si="0"/>
        <v>#REF!</v>
      </c>
      <c r="Q15" s="55" t="s">
        <v>344</v>
      </c>
      <c r="R15" s="9">
        <f>B24</f>
        <v>0</v>
      </c>
      <c r="S15" s="8" t="e">
        <f t="shared" ref="S15:S20" si="2">+R15/$G$12</f>
        <v>#DIV/0!</v>
      </c>
    </row>
    <row r="16" spans="1:22">
      <c r="A16" s="8" t="s">
        <v>359</v>
      </c>
      <c r="B16" s="45">
        <f>'Operating Expenses '!G13</f>
        <v>0</v>
      </c>
      <c r="F16" s="34"/>
      <c r="G16" s="38" t="str">
        <f>'Units &amp; Income'!A45</f>
        <v>1BR</v>
      </c>
      <c r="H16" s="38">
        <f>'Units &amp; Income'!D45</f>
        <v>0</v>
      </c>
      <c r="I16" s="11">
        <f>'Units &amp; Income'!H45</f>
        <v>0</v>
      </c>
      <c r="J16" s="35">
        <f>'Units &amp; Income'!I45</f>
        <v>0</v>
      </c>
      <c r="M16" s="8">
        <f>'Sources and Uses'!A21</f>
        <v>0</v>
      </c>
      <c r="N16" s="45">
        <f>C78</f>
        <v>0</v>
      </c>
      <c r="O16" s="45" t="e">
        <f t="shared" si="0"/>
        <v>#DIV/0!</v>
      </c>
      <c r="Q16" s="56" t="s">
        <v>306</v>
      </c>
      <c r="R16" s="57">
        <f>B25</f>
        <v>0</v>
      </c>
      <c r="S16" s="46" t="e">
        <f t="shared" si="2"/>
        <v>#DIV/0!</v>
      </c>
    </row>
    <row r="17" spans="1:19">
      <c r="A17" s="8" t="s">
        <v>358</v>
      </c>
      <c r="B17" s="45">
        <f>'Operating Expenses '!G23</f>
        <v>0</v>
      </c>
      <c r="F17" s="34"/>
      <c r="G17" s="38" t="str">
        <f>'Units &amp; Income'!A46</f>
        <v>2BR</v>
      </c>
      <c r="H17" s="38">
        <f>'Units &amp; Income'!D46</f>
        <v>0</v>
      </c>
      <c r="I17" s="11">
        <f>'Units &amp; Income'!H46</f>
        <v>0</v>
      </c>
      <c r="J17" s="35">
        <f>'Units &amp; Income'!I46</f>
        <v>0</v>
      </c>
      <c r="M17" s="8" t="str">
        <f>'Sources and Uses'!A22</f>
        <v>Total Construction Sources</v>
      </c>
      <c r="N17" s="44" t="e">
        <f>+SUM(N3:N16)</f>
        <v>#REF!</v>
      </c>
      <c r="O17" s="45" t="e">
        <f t="shared" si="0"/>
        <v>#REF!</v>
      </c>
      <c r="Q17" s="56" t="s">
        <v>317</v>
      </c>
      <c r="R17" s="46" t="e">
        <f>B26</f>
        <v>#REF!</v>
      </c>
      <c r="S17" s="46" t="e">
        <f t="shared" si="2"/>
        <v>#REF!</v>
      </c>
    </row>
    <row r="18" spans="1:19">
      <c r="A18" s="8" t="s">
        <v>314</v>
      </c>
      <c r="B18" s="45">
        <f>'Operating Expenses '!G25</f>
        <v>0</v>
      </c>
      <c r="F18" s="34"/>
      <c r="G18" s="38" t="str">
        <f>'Units &amp; Income'!A47</f>
        <v>3BR</v>
      </c>
      <c r="H18" s="38">
        <f>'Units &amp; Income'!D47</f>
        <v>0</v>
      </c>
      <c r="I18" s="11">
        <f>'Units &amp; Income'!H47</f>
        <v>0</v>
      </c>
      <c r="J18" s="35">
        <f>'Units &amp; Income'!I47</f>
        <v>0</v>
      </c>
      <c r="M18" s="8" t="e">
        <f>'Sources and Uses'!#REF!</f>
        <v>#REF!</v>
      </c>
      <c r="N18" s="45" t="e">
        <f>+N43-N17</f>
        <v>#REF!</v>
      </c>
      <c r="O18" s="45" t="e">
        <f t="shared" si="0"/>
        <v>#REF!</v>
      </c>
      <c r="Q18" s="56" t="s">
        <v>377</v>
      </c>
      <c r="R18" s="57" t="e">
        <f>(N3*(B60+B61)/12*B36)+(N4*(B38+B39)/12*B36)</f>
        <v>#REF!</v>
      </c>
      <c r="S18" s="46" t="e">
        <f t="shared" si="2"/>
        <v>#REF!</v>
      </c>
    </row>
    <row r="19" spans="1:19">
      <c r="A19" s="8" t="s">
        <v>11</v>
      </c>
      <c r="B19" s="45">
        <f>'Operating Expenses '!G32</f>
        <v>0</v>
      </c>
      <c r="F19" s="34"/>
      <c r="G19" s="38" t="str">
        <f>'Units &amp; Income'!A48</f>
        <v>4BR</v>
      </c>
      <c r="H19" s="38">
        <f>'Units &amp; Income'!D48</f>
        <v>0</v>
      </c>
      <c r="I19" s="11">
        <f>'Units &amp; Income'!H48</f>
        <v>0</v>
      </c>
      <c r="J19" s="35">
        <f>'Units &amp; Income'!I48</f>
        <v>0</v>
      </c>
      <c r="Q19" s="56" t="s">
        <v>305</v>
      </c>
      <c r="R19" s="57" t="e">
        <f>((B66*C66)*D66/12*$B$36)+((B67*C67)*D67/12*$B$36)+((B68*C68)*D68/12*$B$36)+((B69*C69)*D69/12*$B$36)</f>
        <v>#REF!</v>
      </c>
      <c r="S19" s="46" t="e">
        <f t="shared" si="2"/>
        <v>#REF!</v>
      </c>
    </row>
    <row r="20" spans="1:19">
      <c r="A20" s="8" t="s">
        <v>89</v>
      </c>
      <c r="B20" s="45">
        <f>'Operating Expenses '!G46</f>
        <v>0</v>
      </c>
      <c r="F20" s="54"/>
      <c r="G20" s="11"/>
      <c r="H20" s="38">
        <f>SUM(H15:H19)</f>
        <v>0</v>
      </c>
      <c r="I20" s="11"/>
      <c r="J20" s="35"/>
      <c r="M20" s="39" t="s">
        <v>19</v>
      </c>
      <c r="N20" s="39"/>
      <c r="O20" s="39"/>
      <c r="Q20" s="56" t="s">
        <v>378</v>
      </c>
      <c r="R20" s="57" t="e">
        <f>(((N3*(B60+B61)/12+N4*(B38+B39)/12)*2+SUM(N3:N4))*$B$40)+(((N3*(B60+B61)/12+N4*(B38+B39)/12)*2+SUM(N3:N4))*B41*(B36/12))</f>
        <v>#REF!</v>
      </c>
      <c r="S20" s="46" t="e">
        <f t="shared" si="2"/>
        <v>#REF!</v>
      </c>
    </row>
    <row r="21" spans="1:19">
      <c r="A21" s="8" t="s">
        <v>91</v>
      </c>
      <c r="B21" s="45">
        <f>'Operating Expenses '!G55</f>
        <v>0</v>
      </c>
      <c r="F21" s="54">
        <f>'Units &amp; Income'!C50</f>
        <v>0</v>
      </c>
      <c r="G21" s="38" t="str">
        <f>'Units &amp; Income'!A50</f>
        <v>Studio</v>
      </c>
      <c r="H21" s="38">
        <f>'Units &amp; Income'!D50</f>
        <v>0</v>
      </c>
      <c r="I21" s="11">
        <f>'Units &amp; Income'!H50</f>
        <v>0</v>
      </c>
      <c r="J21" s="35">
        <f>'Units &amp; Income'!I50</f>
        <v>0</v>
      </c>
      <c r="M21" s="58">
        <f>+'Sources and Uses'!A25</f>
        <v>0</v>
      </c>
      <c r="N21" s="59">
        <f>B72</f>
        <v>0</v>
      </c>
      <c r="O21" s="45" t="e">
        <f t="shared" ref="O21:O35" si="3">+N21/$G$12</f>
        <v>#DIV/0!</v>
      </c>
      <c r="Q21" s="56" t="s">
        <v>379</v>
      </c>
      <c r="R21" s="50" t="e">
        <f>(SUM($N$3:$N$4)*0.02)+(SUM($N$3:$N$4)*IF(SUM($N$3:$N$4)&gt;=20000000,0.84%,IF(SUM($N$3:$N$4)&gt;=10000001,0.672%,IF(SUM($N$3:$N$4)&gt;=5000001,0.504%,IF(SUM($N$3:$N$4)&gt;=1000000,0.336%)))))+('WIP_Scenario Output 1'!N3*0.001)+('WIP_Scenario Output 1'!N3*0.005)+(-PMT(SUM(B60:B62)/12,B59*12,N3))</f>
        <v>#REF!</v>
      </c>
      <c r="S21" s="46" t="e">
        <f>+R21/$G$12</f>
        <v>#REF!</v>
      </c>
    </row>
    <row r="22" spans="1:19">
      <c r="F22" s="34"/>
      <c r="G22" s="38" t="str">
        <f>'Units &amp; Income'!A51</f>
        <v>1BR</v>
      </c>
      <c r="H22" s="38">
        <f>'Units &amp; Income'!D51</f>
        <v>0</v>
      </c>
      <c r="I22" s="11">
        <f>'Units &amp; Income'!H51</f>
        <v>0</v>
      </c>
      <c r="J22" s="35">
        <f>'Units &amp; Income'!I51</f>
        <v>0</v>
      </c>
      <c r="M22" s="48" t="e">
        <f t="shared" ref="M22:N25" si="4">A66</f>
        <v>#REF!</v>
      </c>
      <c r="N22" s="49" t="e">
        <f t="shared" si="4"/>
        <v>#REF!</v>
      </c>
      <c r="O22" s="45" t="e">
        <f t="shared" si="3"/>
        <v>#REF!</v>
      </c>
      <c r="Q22" s="56" t="s">
        <v>133</v>
      </c>
      <c r="R22" s="46">
        <f>B27</f>
        <v>0</v>
      </c>
      <c r="S22" s="46" t="e">
        <f>+R22/$G$12</f>
        <v>#DIV/0!</v>
      </c>
    </row>
    <row r="23" spans="1:19">
      <c r="A23" s="8" t="s">
        <v>337</v>
      </c>
      <c r="C23" s="60" t="s">
        <v>384</v>
      </c>
      <c r="F23" s="34"/>
      <c r="G23" s="38" t="str">
        <f>'Units &amp; Income'!A52</f>
        <v>2BR</v>
      </c>
      <c r="H23" s="38">
        <f>'Units &amp; Income'!D52</f>
        <v>0</v>
      </c>
      <c r="I23" s="11">
        <f>'Units &amp; Income'!H52</f>
        <v>0</v>
      </c>
      <c r="J23" s="35">
        <f>'Units &amp; Income'!I52</f>
        <v>0</v>
      </c>
      <c r="M23" s="48" t="e">
        <f t="shared" si="4"/>
        <v>#REF!</v>
      </c>
      <c r="N23" s="49" t="e">
        <f t="shared" si="4"/>
        <v>#REF!</v>
      </c>
      <c r="O23" s="45" t="e">
        <f t="shared" si="3"/>
        <v>#REF!</v>
      </c>
      <c r="Q23" s="56" t="s">
        <v>91</v>
      </c>
      <c r="R23" s="46">
        <f>B28</f>
        <v>0</v>
      </c>
      <c r="S23" s="46" t="e">
        <f>+R23/$G$12</f>
        <v>#DIV/0!</v>
      </c>
    </row>
    <row r="24" spans="1:19">
      <c r="A24" s="8" t="s">
        <v>344</v>
      </c>
      <c r="B24" s="8">
        <f>'Development Budget'!C12</f>
        <v>0</v>
      </c>
      <c r="C24" s="53">
        <f>IFERROR('Development Budget'!O39,0)</f>
        <v>0</v>
      </c>
      <c r="F24" s="34"/>
      <c r="G24" s="38" t="str">
        <f>'Units &amp; Income'!A53</f>
        <v>3BR</v>
      </c>
      <c r="H24" s="38">
        <f>'Units &amp; Income'!D53</f>
        <v>0</v>
      </c>
      <c r="I24" s="11">
        <f>'Units &amp; Income'!H53</f>
        <v>0</v>
      </c>
      <c r="J24" s="35">
        <f>'Units &amp; Income'!I53</f>
        <v>0</v>
      </c>
      <c r="M24" s="48" t="e">
        <f t="shared" si="4"/>
        <v>#REF!</v>
      </c>
      <c r="N24" s="49" t="e">
        <f t="shared" si="4"/>
        <v>#REF!</v>
      </c>
      <c r="O24" s="45" t="e">
        <f t="shared" si="3"/>
        <v>#REF!</v>
      </c>
      <c r="Q24" s="61" t="s">
        <v>319</v>
      </c>
      <c r="R24" s="57" t="e">
        <f>SUM(R15:R23)</f>
        <v>#REF!</v>
      </c>
      <c r="S24" s="4" t="e">
        <f>+R24/$H$20</f>
        <v>#REF!</v>
      </c>
    </row>
    <row r="25" spans="1:19">
      <c r="A25" s="8" t="s">
        <v>306</v>
      </c>
      <c r="B25" s="45">
        <f>+'Development Budget'!C33</f>
        <v>0</v>
      </c>
      <c r="C25" s="53">
        <f>IFERROR('Development Budget'!#REF!,0)</f>
        <v>0</v>
      </c>
      <c r="F25" s="34"/>
      <c r="G25" s="38" t="str">
        <f>'Units &amp; Income'!A54</f>
        <v>4BR</v>
      </c>
      <c r="H25" s="38">
        <f>'Units &amp; Income'!D54</f>
        <v>0</v>
      </c>
      <c r="I25" s="11">
        <f>'Units &amp; Income'!H54</f>
        <v>0</v>
      </c>
      <c r="J25" s="35">
        <f>'Units &amp; Income'!I54</f>
        <v>0</v>
      </c>
      <c r="M25" s="48" t="e">
        <f t="shared" si="4"/>
        <v>#REF!</v>
      </c>
      <c r="N25" s="49" t="e">
        <f t="shared" si="4"/>
        <v>#REF!</v>
      </c>
      <c r="O25" s="45" t="e">
        <f t="shared" si="3"/>
        <v>#REF!</v>
      </c>
      <c r="Q25" s="14"/>
      <c r="R25" s="14"/>
      <c r="S25" s="14"/>
    </row>
    <row r="26" spans="1:19">
      <c r="A26" s="8" t="s">
        <v>360</v>
      </c>
      <c r="B26" s="45" t="e">
        <f>'Development Budget'!C59+'Development Budget'!C48+'Development Budget'!C64+'Development Budget'!#REF!+'Development Budget'!C69</f>
        <v>#REF!</v>
      </c>
      <c r="C26" s="53">
        <f>IFERROR('Development Budget'!O18,0)</f>
        <v>0</v>
      </c>
      <c r="F26" s="34"/>
      <c r="G26" s="11"/>
      <c r="H26" s="11"/>
      <c r="I26" s="11"/>
      <c r="J26" s="35"/>
      <c r="M26" s="52">
        <f t="shared" ref="M26:N30" si="5">A73</f>
        <v>0</v>
      </c>
      <c r="N26" s="45">
        <f t="shared" si="5"/>
        <v>0</v>
      </c>
      <c r="O26" s="45" t="e">
        <f t="shared" si="3"/>
        <v>#DIV/0!</v>
      </c>
      <c r="Q26" s="14"/>
      <c r="R26" s="14"/>
      <c r="S26" s="14"/>
    </row>
    <row r="27" spans="1:19">
      <c r="A27" s="8" t="s">
        <v>318</v>
      </c>
      <c r="B27" s="45">
        <f>+'Development Budget'!C73</f>
        <v>0</v>
      </c>
      <c r="C27" s="53" t="e">
        <f>'Development Budget'!K73/'Development Budget'!C73</f>
        <v>#DIV/0!</v>
      </c>
      <c r="F27" s="54">
        <f>'Units &amp; Income'!C56</f>
        <v>0</v>
      </c>
      <c r="G27" s="38" t="str">
        <f>'Units &amp; Income'!A56</f>
        <v>Studio</v>
      </c>
      <c r="H27" s="38">
        <f>'Units &amp; Income'!D56</f>
        <v>0</v>
      </c>
      <c r="I27" s="11">
        <f>'Units &amp; Income'!H56</f>
        <v>0</v>
      </c>
      <c r="J27" s="35">
        <f>'Units &amp; Income'!I56</f>
        <v>0</v>
      </c>
      <c r="M27" s="52">
        <f t="shared" si="5"/>
        <v>0</v>
      </c>
      <c r="N27" s="45">
        <f t="shared" si="5"/>
        <v>0</v>
      </c>
      <c r="O27" s="45" t="e">
        <f t="shared" si="3"/>
        <v>#DIV/0!</v>
      </c>
    </row>
    <row r="28" spans="1:19">
      <c r="A28" s="8" t="s">
        <v>91</v>
      </c>
      <c r="B28" s="45">
        <f>SUM('Development Budget'!C74:C75)</f>
        <v>0</v>
      </c>
      <c r="C28" s="45"/>
      <c r="F28" s="34"/>
      <c r="G28" s="38" t="str">
        <f>'Units &amp; Income'!A57</f>
        <v>1BR</v>
      </c>
      <c r="H28" s="38">
        <f>'Units &amp; Income'!D57</f>
        <v>0</v>
      </c>
      <c r="I28" s="11">
        <f>'Units &amp; Income'!H57</f>
        <v>0</v>
      </c>
      <c r="J28" s="35">
        <f>'Units &amp; Income'!I57</f>
        <v>0</v>
      </c>
      <c r="M28" s="52">
        <f t="shared" si="5"/>
        <v>0</v>
      </c>
      <c r="N28" s="45">
        <f t="shared" si="5"/>
        <v>0</v>
      </c>
      <c r="O28" s="45" t="e">
        <f t="shared" si="3"/>
        <v>#DIV/0!</v>
      </c>
    </row>
    <row r="29" spans="1:19">
      <c r="C29" s="45"/>
      <c r="F29" s="34"/>
      <c r="G29" s="38" t="str">
        <f>'Units &amp; Income'!A58</f>
        <v>2BR</v>
      </c>
      <c r="H29" s="38">
        <f>'Units &amp; Income'!D58</f>
        <v>0</v>
      </c>
      <c r="I29" s="11">
        <f>'Units &amp; Income'!H58</f>
        <v>0</v>
      </c>
      <c r="J29" s="35">
        <f>'Units &amp; Income'!I58</f>
        <v>0</v>
      </c>
      <c r="M29" s="52">
        <f t="shared" si="5"/>
        <v>0</v>
      </c>
      <c r="N29" s="45">
        <f t="shared" si="5"/>
        <v>0</v>
      </c>
      <c r="O29" s="45" t="e">
        <f t="shared" si="3"/>
        <v>#DIV/0!</v>
      </c>
      <c r="Q29" s="62" t="s">
        <v>320</v>
      </c>
    </row>
    <row r="30" spans="1:19">
      <c r="C30" s="45"/>
      <c r="F30" s="34"/>
      <c r="G30" s="38" t="str">
        <f>'Units &amp; Income'!A59</f>
        <v>3BR</v>
      </c>
      <c r="H30" s="38">
        <f>'Units &amp; Income'!D59</f>
        <v>0</v>
      </c>
      <c r="I30" s="11">
        <f>'Units &amp; Income'!H59</f>
        <v>0</v>
      </c>
      <c r="J30" s="35">
        <f>'Units &amp; Income'!I59</f>
        <v>0</v>
      </c>
      <c r="M30" s="52">
        <f t="shared" si="5"/>
        <v>0</v>
      </c>
      <c r="N30" s="45">
        <f t="shared" si="5"/>
        <v>0</v>
      </c>
      <c r="O30" s="45" t="e">
        <f t="shared" si="3"/>
        <v>#DIV/0!</v>
      </c>
      <c r="Q30" s="63" t="e">
        <f>+#REF!</f>
        <v>#REF!</v>
      </c>
      <c r="R30" s="45">
        <f>+N21</f>
        <v>0</v>
      </c>
    </row>
    <row r="31" spans="1:19">
      <c r="B31" s="45"/>
      <c r="C31" s="45"/>
      <c r="F31" s="34"/>
      <c r="G31" s="38" t="str">
        <f>'Units &amp; Income'!A60</f>
        <v>4BR</v>
      </c>
      <c r="H31" s="38">
        <f>'Units &amp; Income'!D60</f>
        <v>0</v>
      </c>
      <c r="I31" s="11">
        <f>'Units &amp; Income'!H60</f>
        <v>0</v>
      </c>
      <c r="J31" s="35">
        <f>'Units &amp; Income'!I60</f>
        <v>0</v>
      </c>
      <c r="M31" s="8" t="str">
        <f>+'Sources and Uses'!A30</f>
        <v/>
      </c>
      <c r="N31" s="45" t="e">
        <f>N48</f>
        <v>#REF!</v>
      </c>
      <c r="O31" s="45" t="e">
        <f t="shared" si="3"/>
        <v>#REF!</v>
      </c>
      <c r="Q31" s="63" t="e">
        <f>+#REF!</f>
        <v>#REF!</v>
      </c>
      <c r="R31" s="45">
        <f>+N4</f>
        <v>0</v>
      </c>
    </row>
    <row r="32" spans="1:19">
      <c r="F32" s="34"/>
      <c r="G32" s="11"/>
      <c r="H32" s="11"/>
      <c r="I32" s="11"/>
      <c r="J32" s="35"/>
      <c r="M32" s="8" t="str">
        <f>+'Sources and Uses'!A31</f>
        <v/>
      </c>
      <c r="N32" s="45" t="e">
        <f>N51</f>
        <v>#REF!</v>
      </c>
      <c r="O32" s="45" t="e">
        <f t="shared" si="3"/>
        <v>#REF!</v>
      </c>
      <c r="Q32" s="63" t="e">
        <f>+#REF!</f>
        <v>#REF!</v>
      </c>
      <c r="R32" s="45">
        <f>+SUM(R30:R31)</f>
        <v>0</v>
      </c>
    </row>
    <row r="33" spans="1:49">
      <c r="A33" s="8" t="s">
        <v>320</v>
      </c>
      <c r="B33" s="8" t="s">
        <v>43</v>
      </c>
      <c r="F33" s="54">
        <f>'Units &amp; Income'!C62</f>
        <v>0</v>
      </c>
      <c r="G33" s="38" t="str">
        <f>'Units &amp; Income'!A62</f>
        <v>Studio</v>
      </c>
      <c r="H33" s="38">
        <f>'Units &amp; Income'!D62</f>
        <v>0</v>
      </c>
      <c r="I33" s="11">
        <f>'Units &amp; Income'!H62</f>
        <v>0</v>
      </c>
      <c r="J33" s="35">
        <f>'Units &amp; Income'!I62</f>
        <v>0</v>
      </c>
      <c r="M33" s="8" t="e">
        <f>+'Sources and Uses'!#REF!</f>
        <v>#REF!</v>
      </c>
      <c r="N33" s="45" t="e">
        <f>Q63</f>
        <v>#VALUE!</v>
      </c>
      <c r="O33" s="45" t="e">
        <f t="shared" si="3"/>
        <v>#VALUE!</v>
      </c>
      <c r="Q33" s="63"/>
    </row>
    <row r="34" spans="1:49">
      <c r="A34" s="8" t="s">
        <v>45</v>
      </c>
      <c r="B34" s="64" t="e">
        <f>+#REF!</f>
        <v>#REF!</v>
      </c>
      <c r="F34" s="34"/>
      <c r="G34" s="38" t="str">
        <f>'Units &amp; Income'!A63</f>
        <v>1BR</v>
      </c>
      <c r="H34" s="38">
        <f>'Units &amp; Income'!D63</f>
        <v>0</v>
      </c>
      <c r="I34" s="11">
        <f>'Units &amp; Income'!H63</f>
        <v>0</v>
      </c>
      <c r="J34" s="35">
        <f>'Units &amp; Income'!I63</f>
        <v>0</v>
      </c>
      <c r="M34" s="8" t="str">
        <f>+'Sources and Uses'!A37</f>
        <v>Total Permanent Sources</v>
      </c>
      <c r="N34" s="45" t="e">
        <f>+SUM(N21:N33)</f>
        <v>#REF!</v>
      </c>
      <c r="O34" s="45" t="e">
        <f t="shared" si="3"/>
        <v>#REF!</v>
      </c>
      <c r="Q34" s="63" t="e">
        <f>+#REF!</f>
        <v>#REF!</v>
      </c>
      <c r="R34" s="8" t="e">
        <f>B34</f>
        <v>#REF!</v>
      </c>
    </row>
    <row r="35" spans="1:49">
      <c r="A35" s="8" t="s">
        <v>338</v>
      </c>
      <c r="B35" s="64" t="e">
        <f>+#REF!</f>
        <v>#REF!</v>
      </c>
      <c r="F35" s="34"/>
      <c r="G35" s="38" t="str">
        <f>'Units &amp; Income'!A64</f>
        <v>2BR</v>
      </c>
      <c r="H35" s="38">
        <f>'Units &amp; Income'!D64</f>
        <v>0</v>
      </c>
      <c r="I35" s="11">
        <f>'Units &amp; Income'!H64</f>
        <v>0</v>
      </c>
      <c r="J35" s="35">
        <f>'Units &amp; Income'!I64</f>
        <v>0</v>
      </c>
      <c r="M35" s="8" t="e">
        <f>+'Sources and Uses'!#REF!</f>
        <v>#REF!</v>
      </c>
      <c r="N35" s="45" t="e">
        <f>+N43-SUM(N34)</f>
        <v>#REF!</v>
      </c>
      <c r="O35" s="45" t="e">
        <f t="shared" si="3"/>
        <v>#REF!</v>
      </c>
      <c r="Q35" s="63" t="e">
        <f>+#REF!</f>
        <v>#REF!</v>
      </c>
      <c r="R35" s="8" t="e">
        <f>B35</f>
        <v>#REF!</v>
      </c>
    </row>
    <row r="36" spans="1:49">
      <c r="A36" s="8" t="s">
        <v>1</v>
      </c>
      <c r="B36" s="8" t="e">
        <f>SUM(B34:B35)</f>
        <v>#REF!</v>
      </c>
      <c r="F36" s="34"/>
      <c r="G36" s="38" t="str">
        <f>'Units &amp; Income'!A65</f>
        <v>3BR</v>
      </c>
      <c r="H36" s="38">
        <f>'Units &amp; Income'!D65</f>
        <v>0</v>
      </c>
      <c r="I36" s="11">
        <f>'Units &amp; Income'!H65</f>
        <v>0</v>
      </c>
      <c r="J36" s="35">
        <f>'Units &amp; Income'!I65</f>
        <v>0</v>
      </c>
      <c r="Q36" s="63" t="e">
        <f>+#REF!</f>
        <v>#REF!</v>
      </c>
      <c r="R36" s="8" t="e">
        <f>B36</f>
        <v>#REF!</v>
      </c>
    </row>
    <row r="37" spans="1:49">
      <c r="F37" s="34"/>
      <c r="G37" s="38" t="str">
        <f>'Units &amp; Income'!A66</f>
        <v>4BR</v>
      </c>
      <c r="H37" s="38">
        <f>'Units &amp; Income'!D66</f>
        <v>0</v>
      </c>
      <c r="I37" s="11">
        <f>'Units &amp; Income'!H66</f>
        <v>0</v>
      </c>
      <c r="J37" s="35">
        <f>'Units &amp; Income'!I66</f>
        <v>0</v>
      </c>
      <c r="M37" s="65" t="s">
        <v>51</v>
      </c>
      <c r="N37" s="65"/>
      <c r="O37" s="65"/>
    </row>
    <row r="38" spans="1:49">
      <c r="A38" s="8" t="s">
        <v>339</v>
      </c>
      <c r="B38" s="66" t="e">
        <f>+#REF!</f>
        <v>#REF!</v>
      </c>
      <c r="F38" s="34"/>
      <c r="G38" s="11"/>
      <c r="H38" s="11"/>
      <c r="I38" s="11"/>
      <c r="J38" s="35"/>
      <c r="M38" s="4" t="s">
        <v>344</v>
      </c>
      <c r="N38" s="57">
        <f>R15</f>
        <v>0</v>
      </c>
      <c r="O38" s="4" t="e">
        <f t="shared" ref="O38:O43" si="6">+N38/$H$20</f>
        <v>#DIV/0!</v>
      </c>
      <c r="Q38" s="8" t="s">
        <v>383</v>
      </c>
      <c r="R38" s="45" t="e">
        <f>Q63</f>
        <v>#VALUE!</v>
      </c>
    </row>
    <row r="39" spans="1:49">
      <c r="A39" s="8" t="s">
        <v>376</v>
      </c>
      <c r="B39" s="67" t="e">
        <f>#REF!</f>
        <v>#REF!</v>
      </c>
      <c r="F39" s="54">
        <f>'Units &amp; Income'!C68</f>
        <v>0</v>
      </c>
      <c r="G39" s="38" t="str">
        <f>'Units &amp; Income'!A68</f>
        <v>Studio</v>
      </c>
      <c r="H39" s="38">
        <f>'Units &amp; Income'!D68</f>
        <v>0</v>
      </c>
      <c r="I39" s="11">
        <f>'Units &amp; Income'!H68</f>
        <v>0</v>
      </c>
      <c r="J39" s="35">
        <f>'Units &amp; Income'!I68</f>
        <v>0</v>
      </c>
      <c r="M39" s="4" t="s">
        <v>369</v>
      </c>
      <c r="N39" s="46">
        <f>R16</f>
        <v>0</v>
      </c>
      <c r="O39" s="46" t="e">
        <f t="shared" si="6"/>
        <v>#DIV/0!</v>
      </c>
    </row>
    <row r="40" spans="1:49">
      <c r="A40" s="8" t="s">
        <v>372</v>
      </c>
      <c r="B40" s="67" t="e">
        <f>#REF!</f>
        <v>#REF!</v>
      </c>
      <c r="F40" s="34"/>
      <c r="G40" s="38" t="str">
        <f>'Units &amp; Income'!A69</f>
        <v>1BR</v>
      </c>
      <c r="H40" s="38">
        <f>'Units &amp; Income'!D69</f>
        <v>0</v>
      </c>
      <c r="I40" s="11">
        <f>'Units &amp; Income'!H69</f>
        <v>0</v>
      </c>
      <c r="J40" s="35">
        <f>'Units &amp; Income'!I69</f>
        <v>0</v>
      </c>
      <c r="M40" s="4" t="s">
        <v>53</v>
      </c>
      <c r="N40" s="46" t="e">
        <f>SUM(R17:R21)</f>
        <v>#REF!</v>
      </c>
      <c r="O40" s="46" t="e">
        <f t="shared" si="6"/>
        <v>#REF!</v>
      </c>
    </row>
    <row r="41" spans="1:49">
      <c r="A41" s="8" t="s">
        <v>373</v>
      </c>
      <c r="B41" s="67" t="e">
        <f>#REF!</f>
        <v>#REF!</v>
      </c>
      <c r="F41" s="34"/>
      <c r="G41" s="38" t="str">
        <f>'Units &amp; Income'!A70</f>
        <v>2BR</v>
      </c>
      <c r="H41" s="38">
        <f>'Units &amp; Income'!D70</f>
        <v>0</v>
      </c>
      <c r="I41" s="11">
        <f>'Units &amp; Income'!H70</f>
        <v>0</v>
      </c>
      <c r="J41" s="35">
        <f>'Units &amp; Income'!I70</f>
        <v>0</v>
      </c>
      <c r="M41" s="4" t="s">
        <v>91</v>
      </c>
      <c r="N41" s="46">
        <f>R23</f>
        <v>0</v>
      </c>
      <c r="O41" s="46" t="e">
        <f t="shared" si="6"/>
        <v>#DIV/0!</v>
      </c>
    </row>
    <row r="42" spans="1:49">
      <c r="F42" s="34"/>
      <c r="G42" s="38" t="str">
        <f>'Units &amp; Income'!A71</f>
        <v>3BR</v>
      </c>
      <c r="H42" s="38">
        <f>'Units &amp; Income'!D71</f>
        <v>0</v>
      </c>
      <c r="I42" s="11">
        <f>'Units &amp; Income'!H71</f>
        <v>0</v>
      </c>
      <c r="J42" s="35">
        <f>'Units &amp; Income'!I71</f>
        <v>0</v>
      </c>
      <c r="M42" s="4" t="s">
        <v>133</v>
      </c>
      <c r="N42" s="46">
        <f>R22</f>
        <v>0</v>
      </c>
      <c r="O42" s="46" t="e">
        <f t="shared" si="6"/>
        <v>#DIV/0!</v>
      </c>
    </row>
    <row r="43" spans="1:49">
      <c r="A43" s="8" t="s">
        <v>346</v>
      </c>
      <c r="B43" s="8" t="s">
        <v>341</v>
      </c>
      <c r="C43" s="8" t="s">
        <v>347</v>
      </c>
      <c r="F43" s="34"/>
      <c r="G43" s="38" t="str">
        <f>'Units &amp; Income'!A72</f>
        <v>4BR</v>
      </c>
      <c r="H43" s="38">
        <f>'Units &amp; Income'!D72</f>
        <v>0</v>
      </c>
      <c r="I43" s="11">
        <f>'Units &amp; Income'!H72</f>
        <v>0</v>
      </c>
      <c r="J43" s="35">
        <f>'Units &amp; Income'!I72</f>
        <v>0</v>
      </c>
      <c r="M43" s="68" t="s">
        <v>1</v>
      </c>
      <c r="N43" s="69" t="e">
        <f>+SUM(N39:N42)</f>
        <v>#REF!</v>
      </c>
      <c r="O43" s="46" t="e">
        <f t="shared" si="6"/>
        <v>#REF!</v>
      </c>
    </row>
    <row r="44" spans="1:49">
      <c r="A44" s="8" t="s">
        <v>348</v>
      </c>
      <c r="B44" s="45">
        <f>'Development Budget'!K77</f>
        <v>0</v>
      </c>
      <c r="C44" s="45"/>
      <c r="F44" s="34"/>
      <c r="G44" s="11"/>
      <c r="H44" s="11"/>
      <c r="I44" s="11"/>
      <c r="J44" s="35"/>
    </row>
    <row r="45" spans="1:49">
      <c r="A45" s="8" t="s">
        <v>342</v>
      </c>
      <c r="B45" s="70">
        <f>'Development Budget'!Q49</f>
        <v>0</v>
      </c>
      <c r="C45" s="71">
        <f>'Development Budget'!Q57</f>
        <v>0</v>
      </c>
      <c r="F45" s="54">
        <f>'Units &amp; Income'!C74</f>
        <v>0</v>
      </c>
      <c r="G45" s="38" t="str">
        <f>'Units &amp; Income'!A74</f>
        <v>Studio</v>
      </c>
      <c r="H45" s="38">
        <f>'Units &amp; Income'!D74</f>
        <v>0</v>
      </c>
      <c r="I45" s="11">
        <f>'Units &amp; Income'!H74</f>
        <v>0</v>
      </c>
      <c r="J45" s="35">
        <f>'Units &amp; Income'!I74</f>
        <v>0</v>
      </c>
      <c r="M45" s="8" t="s">
        <v>341</v>
      </c>
      <c r="S45" s="8" t="s">
        <v>332</v>
      </c>
      <c r="AW45" s="8" t="s">
        <v>335</v>
      </c>
    </row>
    <row r="46" spans="1:49">
      <c r="A46" s="8" t="s">
        <v>345</v>
      </c>
      <c r="B46" s="67">
        <f>'Development Budget'!Q41</f>
        <v>0</v>
      </c>
      <c r="C46" s="70"/>
      <c r="F46" s="34"/>
      <c r="G46" s="38" t="str">
        <f>'Units &amp; Income'!A75</f>
        <v>1BR</v>
      </c>
      <c r="H46" s="38">
        <f>'Units &amp; Income'!D75</f>
        <v>0</v>
      </c>
      <c r="I46" s="11">
        <f>'Units &amp; Income'!H75</f>
        <v>0</v>
      </c>
      <c r="J46" s="35">
        <f>'Units &amp; Income'!I75</f>
        <v>0</v>
      </c>
      <c r="M46" s="8" t="s">
        <v>348</v>
      </c>
      <c r="N46" s="45" t="e">
        <f>MIN(((B24*C24)+(B25*C25)+(B26*C26)+(B27*C27)+(SUM(R18:R20)*(B34/B36)))*(1+B48),G12*575000)</f>
        <v>#REF!</v>
      </c>
      <c r="Q46" s="8" t="s">
        <v>156</v>
      </c>
      <c r="R46" s="60" t="s">
        <v>324</v>
      </c>
      <c r="S46" s="8">
        <v>1</v>
      </c>
      <c r="T46" s="8">
        <f>+S46+1</f>
        <v>2</v>
      </c>
      <c r="U46" s="8">
        <f t="shared" ref="U46:AV46" si="7">+T46+1</f>
        <v>3</v>
      </c>
      <c r="V46" s="8">
        <f t="shared" si="7"/>
        <v>4</v>
      </c>
      <c r="W46" s="8">
        <f t="shared" si="7"/>
        <v>5</v>
      </c>
      <c r="X46" s="8">
        <f t="shared" si="7"/>
        <v>6</v>
      </c>
      <c r="Y46" s="8">
        <f t="shared" si="7"/>
        <v>7</v>
      </c>
      <c r="Z46" s="8">
        <f t="shared" si="7"/>
        <v>8</v>
      </c>
      <c r="AA46" s="8">
        <f t="shared" si="7"/>
        <v>9</v>
      </c>
      <c r="AB46" s="8">
        <f t="shared" si="7"/>
        <v>10</v>
      </c>
      <c r="AC46" s="8">
        <f t="shared" si="7"/>
        <v>11</v>
      </c>
      <c r="AD46" s="8">
        <f t="shared" si="7"/>
        <v>12</v>
      </c>
      <c r="AE46" s="8">
        <f t="shared" si="7"/>
        <v>13</v>
      </c>
      <c r="AF46" s="8">
        <f t="shared" si="7"/>
        <v>14</v>
      </c>
      <c r="AG46" s="8">
        <f t="shared" si="7"/>
        <v>15</v>
      </c>
      <c r="AH46" s="8">
        <f t="shared" si="7"/>
        <v>16</v>
      </c>
      <c r="AI46" s="8">
        <f t="shared" si="7"/>
        <v>17</v>
      </c>
      <c r="AJ46" s="8">
        <f t="shared" si="7"/>
        <v>18</v>
      </c>
      <c r="AK46" s="8">
        <f t="shared" si="7"/>
        <v>19</v>
      </c>
      <c r="AL46" s="8">
        <f t="shared" si="7"/>
        <v>20</v>
      </c>
      <c r="AM46" s="8">
        <f t="shared" si="7"/>
        <v>21</v>
      </c>
      <c r="AN46" s="8">
        <f t="shared" si="7"/>
        <v>22</v>
      </c>
      <c r="AO46" s="8">
        <f t="shared" si="7"/>
        <v>23</v>
      </c>
      <c r="AP46" s="8">
        <f t="shared" si="7"/>
        <v>24</v>
      </c>
      <c r="AQ46" s="8">
        <f t="shared" si="7"/>
        <v>25</v>
      </c>
      <c r="AR46" s="8">
        <f t="shared" si="7"/>
        <v>26</v>
      </c>
      <c r="AS46" s="8">
        <f t="shared" si="7"/>
        <v>27</v>
      </c>
      <c r="AT46" s="8">
        <f t="shared" si="7"/>
        <v>28</v>
      </c>
      <c r="AU46" s="8">
        <f t="shared" si="7"/>
        <v>29</v>
      </c>
      <c r="AV46" s="8">
        <f t="shared" si="7"/>
        <v>30</v>
      </c>
      <c r="AW46" s="8" t="s">
        <v>335</v>
      </c>
    </row>
    <row r="47" spans="1:49">
      <c r="A47" s="8" t="s">
        <v>139</v>
      </c>
      <c r="B47" s="53">
        <f>+'Development Budget'!Q40</f>
        <v>0</v>
      </c>
      <c r="C47" s="70"/>
      <c r="F47" s="34"/>
      <c r="G47" s="38" t="str">
        <f>'Units &amp; Income'!A76</f>
        <v>2BR</v>
      </c>
      <c r="H47" s="38">
        <f>'Units &amp; Income'!D76</f>
        <v>0</v>
      </c>
      <c r="I47" s="11">
        <f>'Units &amp; Income'!H76</f>
        <v>0</v>
      </c>
      <c r="J47" s="35">
        <f>'Units &amp; Income'!I76</f>
        <v>0</v>
      </c>
      <c r="M47" s="8" t="s">
        <v>357</v>
      </c>
      <c r="N47" s="45" t="e">
        <f>+N46*99.99%*B45*B46*B47</f>
        <v>#REF!</v>
      </c>
      <c r="Q47" s="8" t="s">
        <v>307</v>
      </c>
      <c r="AW47" s="8" t="s">
        <v>335</v>
      </c>
    </row>
    <row r="48" spans="1:49">
      <c r="A48" s="8" t="s">
        <v>214</v>
      </c>
      <c r="B48" s="53">
        <f>'Development Budget'!Q38</f>
        <v>0</v>
      </c>
      <c r="C48" s="70"/>
      <c r="F48" s="34"/>
      <c r="G48" s="38" t="str">
        <f>'Units &amp; Income'!A77</f>
        <v>3BR</v>
      </c>
      <c r="H48" s="38">
        <f>'Units &amp; Income'!D77</f>
        <v>0</v>
      </c>
      <c r="I48" s="11">
        <f>'Units &amp; Income'!H77</f>
        <v>0</v>
      </c>
      <c r="J48" s="35">
        <f>'Units &amp; Income'!I77</f>
        <v>0</v>
      </c>
      <c r="M48" s="8" t="s">
        <v>343</v>
      </c>
      <c r="N48" s="70" t="e">
        <f>N47*10</f>
        <v>#REF!</v>
      </c>
      <c r="Q48" s="8" t="s">
        <v>334</v>
      </c>
      <c r="R48" s="53">
        <f>+B54</f>
        <v>0.02</v>
      </c>
      <c r="S48" s="45" t="str">
        <f>+$R$3</f>
        <v/>
      </c>
      <c r="T48" s="45" t="e">
        <f t="shared" ref="T48:AV48" si="8">+S48+(S48*$R48)</f>
        <v>#VALUE!</v>
      </c>
      <c r="U48" s="45" t="e">
        <f t="shared" si="8"/>
        <v>#VALUE!</v>
      </c>
      <c r="V48" s="45" t="e">
        <f t="shared" si="8"/>
        <v>#VALUE!</v>
      </c>
      <c r="W48" s="45" t="e">
        <f t="shared" si="8"/>
        <v>#VALUE!</v>
      </c>
      <c r="X48" s="45" t="e">
        <f t="shared" si="8"/>
        <v>#VALUE!</v>
      </c>
      <c r="Y48" s="45" t="e">
        <f t="shared" si="8"/>
        <v>#VALUE!</v>
      </c>
      <c r="Z48" s="45" t="e">
        <f t="shared" si="8"/>
        <v>#VALUE!</v>
      </c>
      <c r="AA48" s="45" t="e">
        <f t="shared" si="8"/>
        <v>#VALUE!</v>
      </c>
      <c r="AB48" s="45" t="e">
        <f t="shared" si="8"/>
        <v>#VALUE!</v>
      </c>
      <c r="AC48" s="45" t="e">
        <f t="shared" si="8"/>
        <v>#VALUE!</v>
      </c>
      <c r="AD48" s="45" t="e">
        <f t="shared" si="8"/>
        <v>#VALUE!</v>
      </c>
      <c r="AE48" s="45" t="e">
        <f t="shared" si="8"/>
        <v>#VALUE!</v>
      </c>
      <c r="AF48" s="45" t="e">
        <f t="shared" si="8"/>
        <v>#VALUE!</v>
      </c>
      <c r="AG48" s="45" t="e">
        <f t="shared" si="8"/>
        <v>#VALUE!</v>
      </c>
      <c r="AH48" s="45" t="e">
        <f t="shared" si="8"/>
        <v>#VALUE!</v>
      </c>
      <c r="AI48" s="45" t="e">
        <f t="shared" si="8"/>
        <v>#VALUE!</v>
      </c>
      <c r="AJ48" s="45" t="e">
        <f t="shared" si="8"/>
        <v>#VALUE!</v>
      </c>
      <c r="AK48" s="45" t="e">
        <f t="shared" si="8"/>
        <v>#VALUE!</v>
      </c>
      <c r="AL48" s="45" t="e">
        <f t="shared" si="8"/>
        <v>#VALUE!</v>
      </c>
      <c r="AM48" s="45" t="e">
        <f t="shared" si="8"/>
        <v>#VALUE!</v>
      </c>
      <c r="AN48" s="45" t="e">
        <f t="shared" si="8"/>
        <v>#VALUE!</v>
      </c>
      <c r="AO48" s="45" t="e">
        <f t="shared" si="8"/>
        <v>#VALUE!</v>
      </c>
      <c r="AP48" s="45" t="e">
        <f t="shared" si="8"/>
        <v>#VALUE!</v>
      </c>
      <c r="AQ48" s="45" t="e">
        <f t="shared" si="8"/>
        <v>#VALUE!</v>
      </c>
      <c r="AR48" s="45" t="e">
        <f t="shared" si="8"/>
        <v>#VALUE!</v>
      </c>
      <c r="AS48" s="45" t="e">
        <f t="shared" si="8"/>
        <v>#VALUE!</v>
      </c>
      <c r="AT48" s="45" t="e">
        <f t="shared" si="8"/>
        <v>#VALUE!</v>
      </c>
      <c r="AU48" s="45" t="e">
        <f t="shared" si="8"/>
        <v>#VALUE!</v>
      </c>
      <c r="AV48" s="45" t="e">
        <f t="shared" si="8"/>
        <v>#VALUE!</v>
      </c>
      <c r="AW48" s="8" t="s">
        <v>335</v>
      </c>
    </row>
    <row r="49" spans="1:49">
      <c r="A49" s="8" t="s">
        <v>361</v>
      </c>
      <c r="B49" s="45"/>
      <c r="C49" s="70" t="e">
        <f>'Development Budget'!#REF!</f>
        <v>#REF!</v>
      </c>
      <c r="F49" s="34"/>
      <c r="G49" s="38" t="str">
        <f>'Units &amp; Income'!A78</f>
        <v>4BR</v>
      </c>
      <c r="H49" s="38">
        <f>'Units &amp; Income'!D78</f>
        <v>0</v>
      </c>
      <c r="I49" s="11">
        <f>'Units &amp; Income'!H78</f>
        <v>0</v>
      </c>
      <c r="J49" s="35">
        <f>'Units &amp; Income'!I78</f>
        <v>0</v>
      </c>
      <c r="Q49" s="8" t="s">
        <v>333</v>
      </c>
      <c r="R49" s="53">
        <f>+B54</f>
        <v>0.02</v>
      </c>
      <c r="S49" s="45">
        <f>+$R$4</f>
        <v>0</v>
      </c>
      <c r="T49" s="45">
        <f t="shared" ref="T49:AV49" si="9">+S49+(S49*$R49)</f>
        <v>0</v>
      </c>
      <c r="U49" s="45">
        <f t="shared" si="9"/>
        <v>0</v>
      </c>
      <c r="V49" s="45">
        <f t="shared" si="9"/>
        <v>0</v>
      </c>
      <c r="W49" s="45">
        <f t="shared" si="9"/>
        <v>0</v>
      </c>
      <c r="X49" s="45">
        <f t="shared" si="9"/>
        <v>0</v>
      </c>
      <c r="Y49" s="45">
        <f t="shared" si="9"/>
        <v>0</v>
      </c>
      <c r="Z49" s="45">
        <f t="shared" si="9"/>
        <v>0</v>
      </c>
      <c r="AA49" s="45">
        <f t="shared" si="9"/>
        <v>0</v>
      </c>
      <c r="AB49" s="45">
        <f t="shared" si="9"/>
        <v>0</v>
      </c>
      <c r="AC49" s="45">
        <f t="shared" si="9"/>
        <v>0</v>
      </c>
      <c r="AD49" s="45">
        <f t="shared" si="9"/>
        <v>0</v>
      </c>
      <c r="AE49" s="45">
        <f t="shared" si="9"/>
        <v>0</v>
      </c>
      <c r="AF49" s="45">
        <f t="shared" si="9"/>
        <v>0</v>
      </c>
      <c r="AG49" s="45">
        <f t="shared" si="9"/>
        <v>0</v>
      </c>
      <c r="AH49" s="45">
        <f t="shared" si="9"/>
        <v>0</v>
      </c>
      <c r="AI49" s="45">
        <f t="shared" si="9"/>
        <v>0</v>
      </c>
      <c r="AJ49" s="45">
        <f t="shared" si="9"/>
        <v>0</v>
      </c>
      <c r="AK49" s="45">
        <f t="shared" si="9"/>
        <v>0</v>
      </c>
      <c r="AL49" s="45">
        <f t="shared" si="9"/>
        <v>0</v>
      </c>
      <c r="AM49" s="45">
        <f t="shared" si="9"/>
        <v>0</v>
      </c>
      <c r="AN49" s="45">
        <f t="shared" si="9"/>
        <v>0</v>
      </c>
      <c r="AO49" s="45">
        <f t="shared" si="9"/>
        <v>0</v>
      </c>
      <c r="AP49" s="45">
        <f t="shared" si="9"/>
        <v>0</v>
      </c>
      <c r="AQ49" s="45">
        <f t="shared" si="9"/>
        <v>0</v>
      </c>
      <c r="AR49" s="45">
        <f t="shared" si="9"/>
        <v>0</v>
      </c>
      <c r="AS49" s="45">
        <f t="shared" si="9"/>
        <v>0</v>
      </c>
      <c r="AT49" s="45">
        <f t="shared" si="9"/>
        <v>0</v>
      </c>
      <c r="AU49" s="45">
        <f t="shared" si="9"/>
        <v>0</v>
      </c>
      <c r="AV49" s="45">
        <f t="shared" si="9"/>
        <v>0</v>
      </c>
      <c r="AW49" s="8" t="s">
        <v>335</v>
      </c>
    </row>
    <row r="50" spans="1:49">
      <c r="A50" s="8" t="s">
        <v>343</v>
      </c>
      <c r="B50" s="45"/>
      <c r="C50" s="45"/>
      <c r="F50" s="34"/>
      <c r="G50" s="11"/>
      <c r="H50" s="11"/>
      <c r="I50" s="11"/>
      <c r="J50" s="35"/>
      <c r="M50" s="8" t="s">
        <v>347</v>
      </c>
      <c r="Q50" s="8" t="s">
        <v>323</v>
      </c>
      <c r="R50" s="53"/>
      <c r="S50" s="45" t="e">
        <f>+S48-(S48*0.05)+S49-(S49*0.1)</f>
        <v>#VALUE!</v>
      </c>
      <c r="T50" s="45" t="e">
        <f t="shared" ref="T50:AV50" si="10">+T48-(T48*0.05)+T49-(T49*0.1)</f>
        <v>#VALUE!</v>
      </c>
      <c r="U50" s="45" t="e">
        <f t="shared" si="10"/>
        <v>#VALUE!</v>
      </c>
      <c r="V50" s="45" t="e">
        <f t="shared" si="10"/>
        <v>#VALUE!</v>
      </c>
      <c r="W50" s="45" t="e">
        <f t="shared" si="10"/>
        <v>#VALUE!</v>
      </c>
      <c r="X50" s="45" t="e">
        <f t="shared" si="10"/>
        <v>#VALUE!</v>
      </c>
      <c r="Y50" s="45" t="e">
        <f t="shared" si="10"/>
        <v>#VALUE!</v>
      </c>
      <c r="Z50" s="45" t="e">
        <f t="shared" si="10"/>
        <v>#VALUE!</v>
      </c>
      <c r="AA50" s="45" t="e">
        <f t="shared" si="10"/>
        <v>#VALUE!</v>
      </c>
      <c r="AB50" s="45" t="e">
        <f t="shared" si="10"/>
        <v>#VALUE!</v>
      </c>
      <c r="AC50" s="45" t="e">
        <f t="shared" si="10"/>
        <v>#VALUE!</v>
      </c>
      <c r="AD50" s="45" t="e">
        <f t="shared" si="10"/>
        <v>#VALUE!</v>
      </c>
      <c r="AE50" s="45" t="e">
        <f t="shared" si="10"/>
        <v>#VALUE!</v>
      </c>
      <c r="AF50" s="45" t="e">
        <f t="shared" si="10"/>
        <v>#VALUE!</v>
      </c>
      <c r="AG50" s="45" t="e">
        <f t="shared" si="10"/>
        <v>#VALUE!</v>
      </c>
      <c r="AH50" s="45" t="e">
        <f t="shared" si="10"/>
        <v>#VALUE!</v>
      </c>
      <c r="AI50" s="45" t="e">
        <f t="shared" si="10"/>
        <v>#VALUE!</v>
      </c>
      <c r="AJ50" s="45" t="e">
        <f t="shared" si="10"/>
        <v>#VALUE!</v>
      </c>
      <c r="AK50" s="45" t="e">
        <f t="shared" si="10"/>
        <v>#VALUE!</v>
      </c>
      <c r="AL50" s="45" t="e">
        <f t="shared" si="10"/>
        <v>#VALUE!</v>
      </c>
      <c r="AM50" s="45" t="e">
        <f t="shared" si="10"/>
        <v>#VALUE!</v>
      </c>
      <c r="AN50" s="45" t="e">
        <f t="shared" si="10"/>
        <v>#VALUE!</v>
      </c>
      <c r="AO50" s="45" t="e">
        <f t="shared" si="10"/>
        <v>#VALUE!</v>
      </c>
      <c r="AP50" s="45" t="e">
        <f t="shared" si="10"/>
        <v>#VALUE!</v>
      </c>
      <c r="AQ50" s="45" t="e">
        <f t="shared" si="10"/>
        <v>#VALUE!</v>
      </c>
      <c r="AR50" s="45" t="e">
        <f t="shared" si="10"/>
        <v>#VALUE!</v>
      </c>
      <c r="AS50" s="45" t="e">
        <f t="shared" si="10"/>
        <v>#VALUE!</v>
      </c>
      <c r="AT50" s="45" t="e">
        <f t="shared" si="10"/>
        <v>#VALUE!</v>
      </c>
      <c r="AU50" s="45" t="e">
        <f t="shared" si="10"/>
        <v>#VALUE!</v>
      </c>
      <c r="AV50" s="45" t="e">
        <f t="shared" si="10"/>
        <v>#VALUE!</v>
      </c>
      <c r="AW50" s="8" t="s">
        <v>335</v>
      </c>
    </row>
    <row r="51" spans="1:49">
      <c r="F51" s="34" t="s">
        <v>363</v>
      </c>
      <c r="G51" s="11"/>
      <c r="H51" s="11"/>
      <c r="I51" s="11"/>
      <c r="J51" s="35"/>
      <c r="M51" s="8" t="s">
        <v>343</v>
      </c>
      <c r="N51" s="70" t="e">
        <f>+C49*10*C45*0.9999</f>
        <v>#REF!</v>
      </c>
      <c r="Q51" s="8" t="s">
        <v>325</v>
      </c>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8" t="s">
        <v>335</v>
      </c>
    </row>
    <row r="52" spans="1:49">
      <c r="F52" s="34" t="s">
        <v>126</v>
      </c>
      <c r="G52" s="72" t="e">
        <f>#REF!</f>
        <v>#REF!</v>
      </c>
      <c r="H52" s="11"/>
      <c r="I52" s="11"/>
      <c r="J52" s="35"/>
      <c r="Q52" s="8" t="s">
        <v>107</v>
      </c>
      <c r="R52" s="53">
        <f>+B55</f>
        <v>0.03</v>
      </c>
      <c r="S52" s="45">
        <f>+$R$10</f>
        <v>0</v>
      </c>
      <c r="T52" s="45">
        <f t="shared" ref="T52:AV52" si="11">+S52+(S52*$R52)</f>
        <v>0</v>
      </c>
      <c r="U52" s="45">
        <f t="shared" si="11"/>
        <v>0</v>
      </c>
      <c r="V52" s="45">
        <f t="shared" si="11"/>
        <v>0</v>
      </c>
      <c r="W52" s="45">
        <f t="shared" si="11"/>
        <v>0</v>
      </c>
      <c r="X52" s="45">
        <f t="shared" si="11"/>
        <v>0</v>
      </c>
      <c r="Y52" s="45">
        <f t="shared" si="11"/>
        <v>0</v>
      </c>
      <c r="Z52" s="45">
        <f t="shared" si="11"/>
        <v>0</v>
      </c>
      <c r="AA52" s="45">
        <f t="shared" si="11"/>
        <v>0</v>
      </c>
      <c r="AB52" s="45">
        <f t="shared" si="11"/>
        <v>0</v>
      </c>
      <c r="AC52" s="45">
        <f t="shared" si="11"/>
        <v>0</v>
      </c>
      <c r="AD52" s="45">
        <f t="shared" si="11"/>
        <v>0</v>
      </c>
      <c r="AE52" s="45">
        <f t="shared" si="11"/>
        <v>0</v>
      </c>
      <c r="AF52" s="45">
        <f t="shared" si="11"/>
        <v>0</v>
      </c>
      <c r="AG52" s="45">
        <f t="shared" si="11"/>
        <v>0</v>
      </c>
      <c r="AH52" s="45">
        <f t="shared" si="11"/>
        <v>0</v>
      </c>
      <c r="AI52" s="45">
        <f t="shared" si="11"/>
        <v>0</v>
      </c>
      <c r="AJ52" s="45">
        <f t="shared" si="11"/>
        <v>0</v>
      </c>
      <c r="AK52" s="45">
        <f t="shared" si="11"/>
        <v>0</v>
      </c>
      <c r="AL52" s="45">
        <f t="shared" si="11"/>
        <v>0</v>
      </c>
      <c r="AM52" s="45">
        <f t="shared" si="11"/>
        <v>0</v>
      </c>
      <c r="AN52" s="45">
        <f t="shared" si="11"/>
        <v>0</v>
      </c>
      <c r="AO52" s="45">
        <f t="shared" si="11"/>
        <v>0</v>
      </c>
      <c r="AP52" s="45">
        <f t="shared" si="11"/>
        <v>0</v>
      </c>
      <c r="AQ52" s="45">
        <f t="shared" si="11"/>
        <v>0</v>
      </c>
      <c r="AR52" s="45">
        <f t="shared" si="11"/>
        <v>0</v>
      </c>
      <c r="AS52" s="45">
        <f t="shared" si="11"/>
        <v>0</v>
      </c>
      <c r="AT52" s="45">
        <f t="shared" si="11"/>
        <v>0</v>
      </c>
      <c r="AU52" s="45">
        <f t="shared" si="11"/>
        <v>0</v>
      </c>
      <c r="AV52" s="45">
        <f t="shared" si="11"/>
        <v>0</v>
      </c>
      <c r="AW52" s="8" t="s">
        <v>335</v>
      </c>
    </row>
    <row r="53" spans="1:49">
      <c r="A53" s="8" t="s">
        <v>336</v>
      </c>
      <c r="F53" s="34" t="s">
        <v>33</v>
      </c>
      <c r="G53" s="72" t="e">
        <f>#REF!</f>
        <v>#REF!</v>
      </c>
      <c r="H53" s="11"/>
      <c r="I53" s="11"/>
      <c r="J53" s="35"/>
      <c r="Q53" s="8" t="s">
        <v>314</v>
      </c>
      <c r="R53" s="53">
        <f>+B56</f>
        <v>0.02</v>
      </c>
      <c r="S53" s="45">
        <f>+$R$11</f>
        <v>0</v>
      </c>
      <c r="T53" s="45">
        <f t="shared" ref="T53:AV53" si="12">+S53+(S53*$R53)</f>
        <v>0</v>
      </c>
      <c r="U53" s="45">
        <f t="shared" si="12"/>
        <v>0</v>
      </c>
      <c r="V53" s="45">
        <f t="shared" si="12"/>
        <v>0</v>
      </c>
      <c r="W53" s="45">
        <f t="shared" si="12"/>
        <v>0</v>
      </c>
      <c r="X53" s="45">
        <f t="shared" si="12"/>
        <v>0</v>
      </c>
      <c r="Y53" s="45">
        <f t="shared" si="12"/>
        <v>0</v>
      </c>
      <c r="Z53" s="45">
        <f t="shared" si="12"/>
        <v>0</v>
      </c>
      <c r="AA53" s="45">
        <f t="shared" si="12"/>
        <v>0</v>
      </c>
      <c r="AB53" s="45">
        <f t="shared" si="12"/>
        <v>0</v>
      </c>
      <c r="AC53" s="45">
        <f t="shared" si="12"/>
        <v>0</v>
      </c>
      <c r="AD53" s="45">
        <f t="shared" si="12"/>
        <v>0</v>
      </c>
      <c r="AE53" s="45">
        <f t="shared" si="12"/>
        <v>0</v>
      </c>
      <c r="AF53" s="45">
        <f t="shared" si="12"/>
        <v>0</v>
      </c>
      <c r="AG53" s="45">
        <f t="shared" si="12"/>
        <v>0</v>
      </c>
      <c r="AH53" s="45">
        <f t="shared" si="12"/>
        <v>0</v>
      </c>
      <c r="AI53" s="45">
        <f t="shared" si="12"/>
        <v>0</v>
      </c>
      <c r="AJ53" s="45">
        <f t="shared" si="12"/>
        <v>0</v>
      </c>
      <c r="AK53" s="45">
        <f t="shared" si="12"/>
        <v>0</v>
      </c>
      <c r="AL53" s="45">
        <f t="shared" si="12"/>
        <v>0</v>
      </c>
      <c r="AM53" s="45">
        <f t="shared" si="12"/>
        <v>0</v>
      </c>
      <c r="AN53" s="45">
        <f t="shared" si="12"/>
        <v>0</v>
      </c>
      <c r="AO53" s="45">
        <f t="shared" si="12"/>
        <v>0</v>
      </c>
      <c r="AP53" s="45">
        <f t="shared" si="12"/>
        <v>0</v>
      </c>
      <c r="AQ53" s="45">
        <f t="shared" si="12"/>
        <v>0</v>
      </c>
      <c r="AR53" s="45">
        <f t="shared" si="12"/>
        <v>0</v>
      </c>
      <c r="AS53" s="45">
        <f t="shared" si="12"/>
        <v>0</v>
      </c>
      <c r="AT53" s="45">
        <f t="shared" si="12"/>
        <v>0</v>
      </c>
      <c r="AU53" s="45">
        <f t="shared" si="12"/>
        <v>0</v>
      </c>
      <c r="AV53" s="45">
        <f t="shared" si="12"/>
        <v>0</v>
      </c>
      <c r="AW53" s="8" t="s">
        <v>335</v>
      </c>
    </row>
    <row r="54" spans="1:49">
      <c r="A54" s="8" t="s">
        <v>350</v>
      </c>
      <c r="B54" s="53">
        <f>'Cash Flow Proforma'!D7</f>
        <v>0.02</v>
      </c>
      <c r="F54" s="34" t="s">
        <v>21</v>
      </c>
      <c r="G54" s="72" t="e">
        <f>#REF!</f>
        <v>#REF!</v>
      </c>
      <c r="H54" s="11"/>
      <c r="I54" s="11"/>
      <c r="J54" s="35"/>
      <c r="Q54" s="8" t="s">
        <v>326</v>
      </c>
      <c r="S54" s="45" t="e">
        <f>+S50-(SUM(S52:S53))</f>
        <v>#VALUE!</v>
      </c>
      <c r="T54" s="45" t="e">
        <f t="shared" ref="T54:AV54" si="13">+T50-(SUM(T52:T53))</f>
        <v>#VALUE!</v>
      </c>
      <c r="U54" s="45" t="e">
        <f t="shared" si="13"/>
        <v>#VALUE!</v>
      </c>
      <c r="V54" s="45" t="e">
        <f t="shared" si="13"/>
        <v>#VALUE!</v>
      </c>
      <c r="W54" s="45" t="e">
        <f t="shared" si="13"/>
        <v>#VALUE!</v>
      </c>
      <c r="X54" s="45" t="e">
        <f t="shared" si="13"/>
        <v>#VALUE!</v>
      </c>
      <c r="Y54" s="45" t="e">
        <f t="shared" si="13"/>
        <v>#VALUE!</v>
      </c>
      <c r="Z54" s="45" t="e">
        <f t="shared" si="13"/>
        <v>#VALUE!</v>
      </c>
      <c r="AA54" s="45" t="e">
        <f t="shared" si="13"/>
        <v>#VALUE!</v>
      </c>
      <c r="AB54" s="45" t="e">
        <f t="shared" si="13"/>
        <v>#VALUE!</v>
      </c>
      <c r="AC54" s="45" t="e">
        <f t="shared" si="13"/>
        <v>#VALUE!</v>
      </c>
      <c r="AD54" s="45" t="e">
        <f t="shared" si="13"/>
        <v>#VALUE!</v>
      </c>
      <c r="AE54" s="45" t="e">
        <f t="shared" si="13"/>
        <v>#VALUE!</v>
      </c>
      <c r="AF54" s="45" t="e">
        <f t="shared" si="13"/>
        <v>#VALUE!</v>
      </c>
      <c r="AG54" s="45" t="e">
        <f t="shared" si="13"/>
        <v>#VALUE!</v>
      </c>
      <c r="AH54" s="45" t="e">
        <f t="shared" si="13"/>
        <v>#VALUE!</v>
      </c>
      <c r="AI54" s="45" t="e">
        <f t="shared" si="13"/>
        <v>#VALUE!</v>
      </c>
      <c r="AJ54" s="45" t="e">
        <f t="shared" si="13"/>
        <v>#VALUE!</v>
      </c>
      <c r="AK54" s="45" t="e">
        <f t="shared" si="13"/>
        <v>#VALUE!</v>
      </c>
      <c r="AL54" s="45" t="e">
        <f t="shared" si="13"/>
        <v>#VALUE!</v>
      </c>
      <c r="AM54" s="45" t="e">
        <f t="shared" si="13"/>
        <v>#VALUE!</v>
      </c>
      <c r="AN54" s="45" t="e">
        <f t="shared" si="13"/>
        <v>#VALUE!</v>
      </c>
      <c r="AO54" s="45" t="e">
        <f t="shared" si="13"/>
        <v>#VALUE!</v>
      </c>
      <c r="AP54" s="45" t="e">
        <f t="shared" si="13"/>
        <v>#VALUE!</v>
      </c>
      <c r="AQ54" s="45" t="e">
        <f t="shared" si="13"/>
        <v>#VALUE!</v>
      </c>
      <c r="AR54" s="45" t="e">
        <f t="shared" si="13"/>
        <v>#VALUE!</v>
      </c>
      <c r="AS54" s="45" t="e">
        <f t="shared" si="13"/>
        <v>#VALUE!</v>
      </c>
      <c r="AT54" s="45" t="e">
        <f t="shared" si="13"/>
        <v>#VALUE!</v>
      </c>
      <c r="AU54" s="45" t="e">
        <f t="shared" si="13"/>
        <v>#VALUE!</v>
      </c>
      <c r="AV54" s="45" t="e">
        <f t="shared" si="13"/>
        <v>#VALUE!</v>
      </c>
      <c r="AW54" s="8" t="s">
        <v>335</v>
      </c>
    </row>
    <row r="55" spans="1:49">
      <c r="A55" s="8" t="s">
        <v>351</v>
      </c>
      <c r="B55" s="53">
        <f>'Cash Flow Proforma'!D29</f>
        <v>0.03</v>
      </c>
      <c r="F55" s="34" t="s">
        <v>149</v>
      </c>
      <c r="G55" s="72" t="e">
        <f>#REF!</f>
        <v>#REF!</v>
      </c>
      <c r="H55" s="11"/>
      <c r="I55" s="11"/>
      <c r="J55" s="35"/>
      <c r="Q55" s="8" t="s">
        <v>186</v>
      </c>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8" t="s">
        <v>335</v>
      </c>
    </row>
    <row r="56" spans="1:49" ht="16.5" thickBot="1">
      <c r="A56" s="8" t="s">
        <v>352</v>
      </c>
      <c r="B56" s="53">
        <f>'Cash Flow Proforma'!D32</f>
        <v>0.02</v>
      </c>
      <c r="F56" s="42" t="s">
        <v>6</v>
      </c>
      <c r="G56" s="73" t="e">
        <f>#REF!</f>
        <v>#REF!</v>
      </c>
      <c r="H56" s="40"/>
      <c r="I56" s="40"/>
      <c r="J56" s="41"/>
      <c r="Q56" s="8" t="s">
        <v>327</v>
      </c>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8" t="s">
        <v>335</v>
      </c>
    </row>
    <row r="57" spans="1:49">
      <c r="Q57" s="8" t="s">
        <v>328</v>
      </c>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8" t="s">
        <v>335</v>
      </c>
    </row>
    <row r="58" spans="1:49">
      <c r="A58" s="8" t="s">
        <v>362</v>
      </c>
      <c r="Q58" s="8" t="s">
        <v>329</v>
      </c>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8" t="s">
        <v>335</v>
      </c>
    </row>
    <row r="59" spans="1:49">
      <c r="A59" s="8" t="s">
        <v>8</v>
      </c>
      <c r="B59" s="8" t="e">
        <f>#REF!</f>
        <v>#REF!</v>
      </c>
      <c r="Q59" s="8" t="s">
        <v>330</v>
      </c>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8" t="s">
        <v>335</v>
      </c>
    </row>
    <row r="60" spans="1:49">
      <c r="A60" s="8" t="s">
        <v>374</v>
      </c>
      <c r="B60" s="67" t="e">
        <f>#REF!</f>
        <v>#REF!</v>
      </c>
      <c r="Q60" s="8" t="s">
        <v>331</v>
      </c>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8" t="s">
        <v>335</v>
      </c>
    </row>
    <row r="61" spans="1:49">
      <c r="A61" s="8" t="s">
        <v>375</v>
      </c>
      <c r="B61" s="67" t="e">
        <f>#REF!</f>
        <v>#REF!</v>
      </c>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8" t="s">
        <v>335</v>
      </c>
    </row>
    <row r="62" spans="1:49">
      <c r="A62" s="8" t="s">
        <v>98</v>
      </c>
      <c r="B62" s="67" t="e">
        <f>#REF!</f>
        <v>#REF!</v>
      </c>
      <c r="Q62" s="8" t="s">
        <v>172</v>
      </c>
      <c r="R62" s="8">
        <f>SUM(R54:R60)</f>
        <v>0</v>
      </c>
      <c r="S62" s="45" t="e">
        <f t="shared" ref="S62:AV62" si="14">SUM(S54:S60)</f>
        <v>#VALUE!</v>
      </c>
      <c r="T62" s="45" t="e">
        <f t="shared" si="14"/>
        <v>#VALUE!</v>
      </c>
      <c r="U62" s="45" t="e">
        <f t="shared" si="14"/>
        <v>#VALUE!</v>
      </c>
      <c r="V62" s="45" t="e">
        <f t="shared" si="14"/>
        <v>#VALUE!</v>
      </c>
      <c r="W62" s="45" t="e">
        <f t="shared" si="14"/>
        <v>#VALUE!</v>
      </c>
      <c r="X62" s="45" t="e">
        <f t="shared" si="14"/>
        <v>#VALUE!</v>
      </c>
      <c r="Y62" s="45" t="e">
        <f t="shared" si="14"/>
        <v>#VALUE!</v>
      </c>
      <c r="Z62" s="45" t="e">
        <f t="shared" si="14"/>
        <v>#VALUE!</v>
      </c>
      <c r="AA62" s="45" t="e">
        <f t="shared" si="14"/>
        <v>#VALUE!</v>
      </c>
      <c r="AB62" s="45" t="e">
        <f t="shared" si="14"/>
        <v>#VALUE!</v>
      </c>
      <c r="AC62" s="45" t="e">
        <f t="shared" si="14"/>
        <v>#VALUE!</v>
      </c>
      <c r="AD62" s="45" t="e">
        <f t="shared" si="14"/>
        <v>#VALUE!</v>
      </c>
      <c r="AE62" s="45" t="e">
        <f t="shared" si="14"/>
        <v>#VALUE!</v>
      </c>
      <c r="AF62" s="45" t="e">
        <f t="shared" si="14"/>
        <v>#VALUE!</v>
      </c>
      <c r="AG62" s="45" t="e">
        <f t="shared" si="14"/>
        <v>#VALUE!</v>
      </c>
      <c r="AH62" s="45" t="e">
        <f t="shared" si="14"/>
        <v>#VALUE!</v>
      </c>
      <c r="AI62" s="45" t="e">
        <f t="shared" si="14"/>
        <v>#VALUE!</v>
      </c>
      <c r="AJ62" s="45" t="e">
        <f t="shared" si="14"/>
        <v>#VALUE!</v>
      </c>
      <c r="AK62" s="45" t="e">
        <f t="shared" si="14"/>
        <v>#VALUE!</v>
      </c>
      <c r="AL62" s="45" t="e">
        <f t="shared" si="14"/>
        <v>#VALUE!</v>
      </c>
      <c r="AM62" s="45" t="e">
        <f t="shared" si="14"/>
        <v>#VALUE!</v>
      </c>
      <c r="AN62" s="45" t="e">
        <f t="shared" si="14"/>
        <v>#VALUE!</v>
      </c>
      <c r="AO62" s="45" t="e">
        <f t="shared" si="14"/>
        <v>#VALUE!</v>
      </c>
      <c r="AP62" s="45" t="e">
        <f t="shared" si="14"/>
        <v>#VALUE!</v>
      </c>
      <c r="AQ62" s="45" t="e">
        <f t="shared" si="14"/>
        <v>#VALUE!</v>
      </c>
      <c r="AR62" s="45" t="e">
        <f t="shared" si="14"/>
        <v>#VALUE!</v>
      </c>
      <c r="AS62" s="45" t="e">
        <f t="shared" si="14"/>
        <v>#VALUE!</v>
      </c>
      <c r="AT62" s="45" t="e">
        <f t="shared" si="14"/>
        <v>#VALUE!</v>
      </c>
      <c r="AU62" s="45" t="e">
        <f t="shared" si="14"/>
        <v>#VALUE!</v>
      </c>
      <c r="AV62" s="45" t="e">
        <f t="shared" si="14"/>
        <v>#VALUE!</v>
      </c>
      <c r="AW62" s="8" t="s">
        <v>335</v>
      </c>
    </row>
    <row r="63" spans="1:49">
      <c r="Q63" s="8" t="e">
        <f>+SUM(S62:AG62)</f>
        <v>#VALUE!</v>
      </c>
      <c r="AW63" s="8" t="s">
        <v>335</v>
      </c>
    </row>
    <row r="64" spans="1:49">
      <c r="S64" s="74" t="e">
        <f>+S50/-(SUM(S52:S53,S56:S60))</f>
        <v>#VALUE!</v>
      </c>
      <c r="T64" s="74" t="e">
        <f t="shared" ref="T64:AV64" si="15">+T50/-(SUM(T52:T53,T56:T60))</f>
        <v>#VALUE!</v>
      </c>
      <c r="U64" s="74" t="e">
        <f t="shared" si="15"/>
        <v>#VALUE!</v>
      </c>
      <c r="V64" s="74" t="e">
        <f t="shared" si="15"/>
        <v>#VALUE!</v>
      </c>
      <c r="W64" s="74" t="e">
        <f t="shared" si="15"/>
        <v>#VALUE!</v>
      </c>
      <c r="X64" s="74" t="e">
        <f t="shared" si="15"/>
        <v>#VALUE!</v>
      </c>
      <c r="Y64" s="74" t="e">
        <f t="shared" si="15"/>
        <v>#VALUE!</v>
      </c>
      <c r="Z64" s="74" t="e">
        <f t="shared" si="15"/>
        <v>#VALUE!</v>
      </c>
      <c r="AA64" s="74" t="e">
        <f t="shared" si="15"/>
        <v>#VALUE!</v>
      </c>
      <c r="AB64" s="74" t="e">
        <f t="shared" si="15"/>
        <v>#VALUE!</v>
      </c>
      <c r="AC64" s="74" t="e">
        <f t="shared" si="15"/>
        <v>#VALUE!</v>
      </c>
      <c r="AD64" s="74" t="e">
        <f t="shared" si="15"/>
        <v>#VALUE!</v>
      </c>
      <c r="AE64" s="74" t="e">
        <f t="shared" si="15"/>
        <v>#VALUE!</v>
      </c>
      <c r="AF64" s="74" t="e">
        <f t="shared" si="15"/>
        <v>#VALUE!</v>
      </c>
      <c r="AG64" s="74" t="e">
        <f t="shared" si="15"/>
        <v>#VALUE!</v>
      </c>
      <c r="AH64" s="74" t="e">
        <f t="shared" si="15"/>
        <v>#VALUE!</v>
      </c>
      <c r="AI64" s="74" t="e">
        <f t="shared" si="15"/>
        <v>#VALUE!</v>
      </c>
      <c r="AJ64" s="74" t="e">
        <f t="shared" si="15"/>
        <v>#VALUE!</v>
      </c>
      <c r="AK64" s="74" t="e">
        <f t="shared" si="15"/>
        <v>#VALUE!</v>
      </c>
      <c r="AL64" s="74" t="e">
        <f t="shared" si="15"/>
        <v>#VALUE!</v>
      </c>
      <c r="AM64" s="74" t="e">
        <f t="shared" si="15"/>
        <v>#VALUE!</v>
      </c>
      <c r="AN64" s="74" t="e">
        <f t="shared" si="15"/>
        <v>#VALUE!</v>
      </c>
      <c r="AO64" s="74" t="e">
        <f t="shared" si="15"/>
        <v>#VALUE!</v>
      </c>
      <c r="AP64" s="74" t="e">
        <f t="shared" si="15"/>
        <v>#VALUE!</v>
      </c>
      <c r="AQ64" s="74" t="e">
        <f t="shared" si="15"/>
        <v>#VALUE!</v>
      </c>
      <c r="AR64" s="74" t="e">
        <f t="shared" si="15"/>
        <v>#VALUE!</v>
      </c>
      <c r="AS64" s="74" t="e">
        <f t="shared" si="15"/>
        <v>#VALUE!</v>
      </c>
      <c r="AT64" s="74" t="e">
        <f t="shared" si="15"/>
        <v>#VALUE!</v>
      </c>
      <c r="AU64" s="74" t="e">
        <f t="shared" si="15"/>
        <v>#VALUE!</v>
      </c>
      <c r="AV64" s="74" t="e">
        <f t="shared" si="15"/>
        <v>#VALUE!</v>
      </c>
      <c r="AW64" s="8" t="s">
        <v>335</v>
      </c>
    </row>
    <row r="65" spans="1:49">
      <c r="A65" s="8" t="s">
        <v>364</v>
      </c>
      <c r="B65" s="8" t="s">
        <v>46</v>
      </c>
      <c r="C65" s="8" t="s">
        <v>365</v>
      </c>
      <c r="D65" s="8" t="s">
        <v>366</v>
      </c>
      <c r="E65" s="8" t="s">
        <v>367</v>
      </c>
      <c r="S65" s="74" t="e">
        <f>+S54/-SUM(S56:S60)</f>
        <v>#VALUE!</v>
      </c>
      <c r="T65" s="74" t="e">
        <f t="shared" ref="T65:AV65" si="16">+T54/-SUM(T56:T60)</f>
        <v>#VALUE!</v>
      </c>
      <c r="U65" s="74" t="e">
        <f t="shared" si="16"/>
        <v>#VALUE!</v>
      </c>
      <c r="V65" s="74" t="e">
        <f t="shared" si="16"/>
        <v>#VALUE!</v>
      </c>
      <c r="W65" s="74" t="e">
        <f t="shared" si="16"/>
        <v>#VALUE!</v>
      </c>
      <c r="X65" s="74" t="e">
        <f t="shared" si="16"/>
        <v>#VALUE!</v>
      </c>
      <c r="Y65" s="74" t="e">
        <f t="shared" si="16"/>
        <v>#VALUE!</v>
      </c>
      <c r="Z65" s="74" t="e">
        <f t="shared" si="16"/>
        <v>#VALUE!</v>
      </c>
      <c r="AA65" s="74" t="e">
        <f t="shared" si="16"/>
        <v>#VALUE!</v>
      </c>
      <c r="AB65" s="74" t="e">
        <f t="shared" si="16"/>
        <v>#VALUE!</v>
      </c>
      <c r="AC65" s="74" t="e">
        <f t="shared" si="16"/>
        <v>#VALUE!</v>
      </c>
      <c r="AD65" s="74" t="e">
        <f t="shared" si="16"/>
        <v>#VALUE!</v>
      </c>
      <c r="AE65" s="74" t="e">
        <f t="shared" si="16"/>
        <v>#VALUE!</v>
      </c>
      <c r="AF65" s="74" t="e">
        <f t="shared" si="16"/>
        <v>#VALUE!</v>
      </c>
      <c r="AG65" s="74" t="e">
        <f t="shared" si="16"/>
        <v>#VALUE!</v>
      </c>
      <c r="AH65" s="74" t="e">
        <f t="shared" si="16"/>
        <v>#VALUE!</v>
      </c>
      <c r="AI65" s="74" t="e">
        <f t="shared" si="16"/>
        <v>#VALUE!</v>
      </c>
      <c r="AJ65" s="74" t="e">
        <f t="shared" si="16"/>
        <v>#VALUE!</v>
      </c>
      <c r="AK65" s="74" t="e">
        <f t="shared" si="16"/>
        <v>#VALUE!</v>
      </c>
      <c r="AL65" s="74" t="e">
        <f t="shared" si="16"/>
        <v>#VALUE!</v>
      </c>
      <c r="AM65" s="74" t="e">
        <f t="shared" si="16"/>
        <v>#VALUE!</v>
      </c>
      <c r="AN65" s="74" t="e">
        <f t="shared" si="16"/>
        <v>#VALUE!</v>
      </c>
      <c r="AO65" s="74" t="e">
        <f t="shared" si="16"/>
        <v>#VALUE!</v>
      </c>
      <c r="AP65" s="74" t="e">
        <f t="shared" si="16"/>
        <v>#VALUE!</v>
      </c>
      <c r="AQ65" s="74" t="e">
        <f t="shared" si="16"/>
        <v>#VALUE!</v>
      </c>
      <c r="AR65" s="74" t="e">
        <f t="shared" si="16"/>
        <v>#VALUE!</v>
      </c>
      <c r="AS65" s="74" t="e">
        <f t="shared" si="16"/>
        <v>#VALUE!</v>
      </c>
      <c r="AT65" s="74" t="e">
        <f t="shared" si="16"/>
        <v>#VALUE!</v>
      </c>
      <c r="AU65" s="74" t="e">
        <f t="shared" si="16"/>
        <v>#VALUE!</v>
      </c>
      <c r="AV65" s="74" t="e">
        <f t="shared" si="16"/>
        <v>#VALUE!</v>
      </c>
      <c r="AW65" s="8" t="s">
        <v>335</v>
      </c>
    </row>
    <row r="66" spans="1:49">
      <c r="A66" s="8" t="e">
        <f>#REF!</f>
        <v>#REF!</v>
      </c>
      <c r="B66" s="44" t="e">
        <f>#REF!</f>
        <v>#REF!</v>
      </c>
      <c r="C66" s="53" t="e">
        <f>#REF!</f>
        <v>#REF!</v>
      </c>
      <c r="D66" s="67" t="e">
        <f>#REF!</f>
        <v>#REF!</v>
      </c>
      <c r="E66" s="67" t="e">
        <f>#REF!</f>
        <v>#REF!</v>
      </c>
    </row>
    <row r="67" spans="1:49">
      <c r="A67" s="75" t="e">
        <f>#REF!</f>
        <v>#REF!</v>
      </c>
      <c r="B67" s="44" t="e">
        <f>#REF!</f>
        <v>#REF!</v>
      </c>
      <c r="C67" s="53" t="e">
        <f>#REF!</f>
        <v>#REF!</v>
      </c>
      <c r="D67" s="67" t="e">
        <f>#REF!</f>
        <v>#REF!</v>
      </c>
      <c r="E67" s="67" t="e">
        <f>#REF!</f>
        <v>#REF!</v>
      </c>
    </row>
    <row r="68" spans="1:49">
      <c r="A68" s="75" t="e">
        <f>#REF!</f>
        <v>#REF!</v>
      </c>
      <c r="B68" s="44" t="e">
        <f>#REF!</f>
        <v>#REF!</v>
      </c>
      <c r="C68" s="53" t="e">
        <f>#REF!</f>
        <v>#REF!</v>
      </c>
      <c r="D68" s="67" t="e">
        <f>#REF!</f>
        <v>#REF!</v>
      </c>
      <c r="E68" s="67" t="e">
        <f>#REF!</f>
        <v>#REF!</v>
      </c>
    </row>
    <row r="69" spans="1:49">
      <c r="A69" s="75" t="e">
        <f>#REF!</f>
        <v>#REF!</v>
      </c>
      <c r="B69" s="44" t="e">
        <f>#REF!</f>
        <v>#REF!</v>
      </c>
      <c r="C69" s="53" t="e">
        <f>#REF!</f>
        <v>#REF!</v>
      </c>
      <c r="D69" s="67" t="e">
        <f>#REF!</f>
        <v>#REF!</v>
      </c>
      <c r="E69" s="67" t="e">
        <f>#REF!</f>
        <v>#REF!</v>
      </c>
    </row>
    <row r="71" spans="1:49">
      <c r="A71" s="8" t="s">
        <v>368</v>
      </c>
      <c r="B71" s="8" t="s">
        <v>370</v>
      </c>
      <c r="C71" s="8" t="s">
        <v>371</v>
      </c>
    </row>
    <row r="72" spans="1:49">
      <c r="A72" s="8" t="s">
        <v>382</v>
      </c>
      <c r="B72" s="44">
        <f>'Sources and Uses'!C25</f>
        <v>0</v>
      </c>
      <c r="C72" s="44">
        <f>'Sources and Uses'!C7</f>
        <v>0</v>
      </c>
    </row>
    <row r="73" spans="1:49">
      <c r="A73" s="52"/>
    </row>
    <row r="74" spans="1:49">
      <c r="A74" s="52"/>
    </row>
    <row r="75" spans="1:49">
      <c r="A75" s="52"/>
    </row>
    <row r="76" spans="1:49">
      <c r="A76" s="52"/>
    </row>
    <row r="77" spans="1:49">
      <c r="A77" s="52"/>
    </row>
    <row r="78" spans="1:49">
      <c r="A78" s="8" t="s">
        <v>381</v>
      </c>
      <c r="B78" s="8">
        <v>0</v>
      </c>
      <c r="C78" s="44">
        <f>'Sources and Uses'!C21</f>
        <v>0</v>
      </c>
    </row>
  </sheetData>
  <dataValidations count="1">
    <dataValidation type="list" allowBlank="1" showInputMessage="1" showErrorMessage="1" sqref="B4" xr:uid="{9B71ED64-FF83-4C36-AE06-B3D3F81D85A9}">
      <formula1>#REF!</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codeName="Sheet6"/>
  <dimension ref="A1:CH474"/>
  <sheetViews>
    <sheetView showGridLines="0" zoomScaleNormal="100" workbookViewId="0"/>
  </sheetViews>
  <sheetFormatPr defaultColWidth="9.88671875" defaultRowHeight="15.75"/>
  <cols>
    <col min="1" max="1" width="17.44140625" style="244" bestFit="1" customWidth="1"/>
    <col min="2" max="4" width="14.6640625" style="244" bestFit="1" customWidth="1"/>
    <col min="5" max="5" width="11.44140625" style="244" bestFit="1" customWidth="1"/>
    <col min="6" max="6" width="11.88671875" style="244" bestFit="1" customWidth="1"/>
    <col min="7" max="7" width="11.44140625" style="244" bestFit="1" customWidth="1"/>
    <col min="8" max="10" width="9.5546875" style="244" customWidth="1"/>
    <col min="11" max="11" width="10.5546875" style="244" bestFit="1" customWidth="1"/>
    <col min="12" max="12" width="11.77734375" style="244" customWidth="1"/>
    <col min="13" max="14" width="4.77734375" style="244" customWidth="1"/>
    <col min="15" max="15" width="5.77734375" style="244" customWidth="1"/>
    <col min="16" max="16" width="17.88671875" style="244" customWidth="1"/>
    <col min="17" max="17" width="15" style="244" customWidth="1"/>
    <col min="18" max="18" width="9.88671875" style="13" customWidth="1"/>
    <col min="19" max="19" width="16.33203125" style="13" bestFit="1" customWidth="1"/>
    <col min="20" max="82" width="9.88671875" style="13"/>
    <col min="83" max="16384" width="9.88671875" style="244"/>
  </cols>
  <sheetData>
    <row r="1" spans="1:17">
      <c r="A1" s="1262"/>
    </row>
    <row r="2" spans="1:17" s="13" customFormat="1">
      <c r="A2" s="437" t="str">
        <f>'Sources and Uses'!A2</f>
        <v>Project Name:</v>
      </c>
      <c r="B2" s="1507">
        <f>'Sources and Uses'!B2</f>
        <v>0</v>
      </c>
      <c r="C2" s="1508"/>
      <c r="D2" s="1508"/>
      <c r="E2" s="1406" t="s">
        <v>404</v>
      </c>
      <c r="F2" s="1407">
        <f>C16</f>
        <v>0</v>
      </c>
      <c r="G2" s="380"/>
    </row>
    <row r="3" spans="1:17" s="13" customFormat="1">
      <c r="A3" s="437" t="str">
        <f>'Sources and Uses'!A4</f>
        <v>Project County:</v>
      </c>
      <c r="B3" s="1507">
        <f>'Sources and Uses'!B4</f>
        <v>0</v>
      </c>
      <c r="C3" s="1508"/>
      <c r="J3" s="297"/>
      <c r="K3" s="380"/>
      <c r="Q3" s="13" t="s">
        <v>615</v>
      </c>
    </row>
    <row r="4" spans="1:17" s="13" customFormat="1">
      <c r="A4" s="438"/>
      <c r="J4" s="297"/>
      <c r="K4" s="380"/>
      <c r="Q4" s="13" t="s">
        <v>341</v>
      </c>
    </row>
    <row r="5" spans="1:17" s="13" customFormat="1">
      <c r="A5" s="297" t="s">
        <v>163</v>
      </c>
      <c r="D5" s="238"/>
      <c r="E5" s="238" t="s">
        <v>424</v>
      </c>
      <c r="F5" s="436"/>
      <c r="H5" s="297"/>
      <c r="I5" s="297"/>
      <c r="J5" s="269"/>
      <c r="K5" s="439"/>
      <c r="L5" s="297"/>
      <c r="M5" s="297"/>
      <c r="Q5" s="13" t="s">
        <v>710</v>
      </c>
    </row>
    <row r="6" spans="1:17" s="13" customFormat="1">
      <c r="B6" s="297"/>
      <c r="C6" s="297"/>
      <c r="I6" s="380"/>
      <c r="Q6" s="13" t="s">
        <v>347</v>
      </c>
    </row>
    <row r="7" spans="1:17" s="13" customFormat="1">
      <c r="A7" s="784" t="s">
        <v>148</v>
      </c>
      <c r="B7" s="785"/>
      <c r="C7" s="786"/>
      <c r="D7" s="787"/>
      <c r="E7" s="788"/>
      <c r="F7" s="789"/>
      <c r="H7" s="269" t="s">
        <v>698</v>
      </c>
      <c r="I7" s="269"/>
      <c r="J7" s="297"/>
      <c r="K7" s="297"/>
    </row>
    <row r="8" spans="1:17" s="13" customFormat="1">
      <c r="A8" s="790"/>
      <c r="B8" s="452" t="s">
        <v>210</v>
      </c>
      <c r="C8" s="461" t="s">
        <v>0</v>
      </c>
      <c r="D8" s="239" t="s">
        <v>14</v>
      </c>
      <c r="E8" s="239" t="s">
        <v>38</v>
      </c>
      <c r="F8" s="791" t="s">
        <v>141</v>
      </c>
      <c r="H8" s="463" t="s">
        <v>174</v>
      </c>
      <c r="I8" s="463" t="s">
        <v>175</v>
      </c>
      <c r="J8" s="495" t="s">
        <v>735</v>
      </c>
      <c r="K8" s="297"/>
    </row>
    <row r="9" spans="1:17" s="13" customFormat="1">
      <c r="A9" s="374" t="s">
        <v>13</v>
      </c>
      <c r="B9" s="453" t="e">
        <f>C9/$C$16</f>
        <v>#DIV/0!</v>
      </c>
      <c r="C9" s="454">
        <f>+SUMIF(A44:A90,"=Studio",D44:D90)</f>
        <v>0</v>
      </c>
      <c r="D9" s="452">
        <v>2</v>
      </c>
      <c r="E9" s="452">
        <f>D9*C9</f>
        <v>0</v>
      </c>
      <c r="F9" s="1309"/>
      <c r="H9" s="697"/>
      <c r="I9" s="698"/>
      <c r="J9" s="699"/>
      <c r="K9" s="297"/>
    </row>
    <row r="10" spans="1:17" s="13" customFormat="1">
      <c r="A10" s="374" t="s">
        <v>57</v>
      </c>
      <c r="B10" s="453" t="e">
        <f>C10/$C$16</f>
        <v>#DIV/0!</v>
      </c>
      <c r="C10" s="454">
        <f>+SUMIF(A44:A90,"=1BR",D44:D90)</f>
        <v>0</v>
      </c>
      <c r="D10" s="452">
        <v>3</v>
      </c>
      <c r="E10" s="452">
        <f>C10*D10</f>
        <v>0</v>
      </c>
      <c r="F10" s="1309"/>
      <c r="H10" s="479">
        <f>+C44</f>
        <v>0</v>
      </c>
      <c r="I10" s="464">
        <f>SUM(D44:D48)</f>
        <v>0</v>
      </c>
      <c r="J10" s="495" t="e">
        <f t="shared" ref="J10:J17" si="0">I10/$I$18</f>
        <v>#DIV/0!</v>
      </c>
      <c r="K10" s="297"/>
    </row>
    <row r="11" spans="1:17" s="13" customFormat="1">
      <c r="A11" s="374" t="s">
        <v>58</v>
      </c>
      <c r="B11" s="453" t="e">
        <f>C11/$C$16</f>
        <v>#DIV/0!</v>
      </c>
      <c r="C11" s="454">
        <f>+SUMIF(A44:A90,"=2BR",D44:D90)</f>
        <v>0</v>
      </c>
      <c r="D11" s="452">
        <v>4</v>
      </c>
      <c r="E11" s="692">
        <f>C11*D11</f>
        <v>0</v>
      </c>
      <c r="F11" s="1309"/>
      <c r="H11" s="479">
        <f>+C50</f>
        <v>0</v>
      </c>
      <c r="I11" s="464">
        <f>SUM(D50:D54)</f>
        <v>0</v>
      </c>
      <c r="J11" s="495" t="e">
        <f t="shared" si="0"/>
        <v>#DIV/0!</v>
      </c>
      <c r="K11" s="297"/>
    </row>
    <row r="12" spans="1:17" s="13" customFormat="1">
      <c r="A12" s="374" t="s">
        <v>59</v>
      </c>
      <c r="B12" s="453" t="e">
        <f>C12/$C$16</f>
        <v>#DIV/0!</v>
      </c>
      <c r="C12" s="454">
        <f>+SUMIF(A44:A90,"=3BR",D44:D90)</f>
        <v>0</v>
      </c>
      <c r="D12" s="452">
        <v>5</v>
      </c>
      <c r="E12" s="692">
        <f>D12*C12</f>
        <v>0</v>
      </c>
      <c r="F12" s="1309"/>
      <c r="H12" s="479">
        <f>+C56</f>
        <v>0</v>
      </c>
      <c r="I12" s="464">
        <f>SUM(D56:D60)</f>
        <v>0</v>
      </c>
      <c r="J12" s="495" t="e">
        <f t="shared" si="0"/>
        <v>#DIV/0!</v>
      </c>
      <c r="K12" s="297"/>
    </row>
    <row r="13" spans="1:17" s="13" customFormat="1">
      <c r="A13" s="374" t="s">
        <v>121</v>
      </c>
      <c r="B13" s="453" t="e">
        <f>C13/$C$16</f>
        <v>#DIV/0!</v>
      </c>
      <c r="C13" s="454">
        <f>+SUMIF(A44:A90,"=4BR",D44:D90)</f>
        <v>0</v>
      </c>
      <c r="D13" s="452">
        <v>6</v>
      </c>
      <c r="E13" s="692">
        <f>D13*C13</f>
        <v>0</v>
      </c>
      <c r="F13" s="1309"/>
      <c r="H13" s="479">
        <f>+C62</f>
        <v>0</v>
      </c>
      <c r="I13" s="464">
        <f>+SUM(D62:D66)</f>
        <v>0</v>
      </c>
      <c r="J13" s="495" t="e">
        <f t="shared" si="0"/>
        <v>#DIV/0!</v>
      </c>
      <c r="K13" s="297"/>
    </row>
    <row r="14" spans="1:17" s="13" customFormat="1">
      <c r="A14" s="792" t="s">
        <v>9</v>
      </c>
      <c r="B14" s="455"/>
      <c r="C14" s="456">
        <f>SUM(C9:C13)</f>
        <v>0</v>
      </c>
      <c r="D14" s="456"/>
      <c r="E14" s="456">
        <f>SUM(E9:E13)</f>
        <v>0</v>
      </c>
      <c r="F14" s="1310"/>
      <c r="H14" s="479">
        <f>+C68</f>
        <v>0</v>
      </c>
      <c r="I14" s="464">
        <f>+SUM(D68:D72)</f>
        <v>0</v>
      </c>
      <c r="J14" s="495" t="e">
        <f t="shared" si="0"/>
        <v>#DIV/0!</v>
      </c>
      <c r="K14" s="297"/>
    </row>
    <row r="15" spans="1:17" s="13" customFormat="1">
      <c r="A15" s="374" t="s">
        <v>18</v>
      </c>
      <c r="B15" s="452"/>
      <c r="C15" s="457"/>
      <c r="D15" s="457"/>
      <c r="E15" s="693">
        <f>D15*C15</f>
        <v>0</v>
      </c>
      <c r="F15" s="1309"/>
      <c r="H15" s="479">
        <f>+C74</f>
        <v>0</v>
      </c>
      <c r="I15" s="464">
        <f>+SUM(D74:D78)</f>
        <v>0</v>
      </c>
      <c r="J15" s="495" t="e">
        <f t="shared" si="0"/>
        <v>#DIV/0!</v>
      </c>
      <c r="K15" s="297"/>
    </row>
    <row r="16" spans="1:17" s="13" customFormat="1">
      <c r="A16" s="793" t="s">
        <v>1</v>
      </c>
      <c r="B16" s="794"/>
      <c r="C16" s="795">
        <f>C15+C14</f>
        <v>0</v>
      </c>
      <c r="D16" s="794"/>
      <c r="E16" s="795">
        <f>SUM(E14:E15)</f>
        <v>0</v>
      </c>
      <c r="F16" s="1311">
        <f>C9*F9+C10*F10+C11*F11+C12*F12+C13*F13+C15*F15</f>
        <v>0</v>
      </c>
      <c r="H16" s="480">
        <f>+C80</f>
        <v>0</v>
      </c>
      <c r="I16" s="465">
        <f>+SUM(D80:D84)</f>
        <v>0</v>
      </c>
      <c r="J16" s="495" t="e">
        <f t="shared" si="0"/>
        <v>#DIV/0!</v>
      </c>
      <c r="K16" s="297"/>
    </row>
    <row r="17" spans="1:82" s="13" customFormat="1">
      <c r="A17" s="1165"/>
      <c r="B17" s="1166"/>
      <c r="C17" s="1167"/>
      <c r="D17" s="1168"/>
      <c r="E17" s="1169"/>
      <c r="F17" s="1168"/>
      <c r="H17" s="480">
        <f>+C86</f>
        <v>0</v>
      </c>
      <c r="I17" s="465">
        <f>+SUM(D86:D90)</f>
        <v>0</v>
      </c>
      <c r="J17" s="495" t="e">
        <f t="shared" si="0"/>
        <v>#DIV/0!</v>
      </c>
      <c r="K17" s="297"/>
    </row>
    <row r="18" spans="1:82">
      <c r="A18" s="784" t="s">
        <v>147</v>
      </c>
      <c r="B18" s="796"/>
      <c r="C18" s="797" t="s">
        <v>64</v>
      </c>
      <c r="D18" s="798"/>
      <c r="E18" s="799" t="s">
        <v>63</v>
      </c>
      <c r="F18" s="800" t="s">
        <v>62</v>
      </c>
      <c r="G18" s="13"/>
      <c r="H18" s="440" t="s">
        <v>1</v>
      </c>
      <c r="I18" s="450">
        <f>SUM(I10:I17)</f>
        <v>0</v>
      </c>
      <c r="J18" s="496" t="e">
        <f>SUM(J10:J17)</f>
        <v>#DIV/0!</v>
      </c>
      <c r="K18" s="13"/>
      <c r="L18" s="13"/>
      <c r="M18" s="13"/>
      <c r="N18" s="13"/>
      <c r="O18" s="13"/>
      <c r="P18" s="13"/>
      <c r="Q18" s="13"/>
      <c r="CC18" s="244"/>
      <c r="CD18" s="244"/>
    </row>
    <row r="19" spans="1:82" ht="15.75" customHeight="1">
      <c r="A19" s="801"/>
      <c r="B19" s="458"/>
      <c r="C19" s="477"/>
      <c r="D19" s="459"/>
      <c r="E19" s="460"/>
      <c r="F19" s="802"/>
      <c r="G19" s="13"/>
      <c r="H19" s="440"/>
      <c r="I19" s="297"/>
      <c r="J19" s="297"/>
      <c r="K19" s="13"/>
      <c r="L19" s="13"/>
      <c r="M19" s="13"/>
      <c r="N19" s="13"/>
      <c r="O19" s="13"/>
      <c r="P19" s="13"/>
      <c r="Q19" s="13"/>
      <c r="CC19" s="244"/>
      <c r="CD19" s="244"/>
    </row>
    <row r="20" spans="1:82" ht="17.25" customHeight="1">
      <c r="A20" s="1212" t="e">
        <f>C20/$C$23</f>
        <v>#DIV/0!</v>
      </c>
      <c r="B20" s="245" t="s">
        <v>61</v>
      </c>
      <c r="C20" s="476"/>
      <c r="D20" s="245" t="s">
        <v>617</v>
      </c>
      <c r="E20" s="476"/>
      <c r="F20" s="1212" t="e">
        <f>E20/C20</f>
        <v>#DIV/0!</v>
      </c>
      <c r="H20" s="297" t="s">
        <v>806</v>
      </c>
      <c r="I20" s="297"/>
      <c r="J20" s="297"/>
      <c r="K20" s="13"/>
      <c r="L20" s="13"/>
      <c r="M20" s="13"/>
      <c r="N20" s="13"/>
      <c r="O20" s="13"/>
      <c r="P20" s="13"/>
      <c r="Q20" s="13"/>
      <c r="CC20" s="244"/>
      <c r="CD20" s="244"/>
    </row>
    <row r="21" spans="1:82" ht="15" customHeight="1">
      <c r="A21" s="1212" t="e">
        <f>C21/$C$23</f>
        <v>#DIV/0!</v>
      </c>
      <c r="B21" s="483" t="s">
        <v>426</v>
      </c>
      <c r="C21" s="476"/>
      <c r="D21" s="483" t="s">
        <v>618</v>
      </c>
      <c r="E21" s="476"/>
      <c r="F21" s="1212" t="e">
        <f>E21/C21</f>
        <v>#DIV/0!</v>
      </c>
      <c r="G21" s="13"/>
      <c r="H21" s="774" t="e">
        <f>+SUM(SUMPRODUCT((C44:C90)*($E$44:$E$90&lt;&gt;"")*($E$44:$E$90="LIHTC"),$D$44:$D$90),SUMPRODUCT((C44:C90)*($E$44:$E$90&lt;&gt;"")*($E$44:$E$90="LIHTC &amp; SLIHC"),$D$44:$D$90))/(SUMIF($E$44:$E$90,"LIHTC",$D$44:$D$90)+SUMIF(E44:$E$90,"LIHTC &amp; SLIHC",$D$44:$D$90))</f>
        <v>#DIV/0!</v>
      </c>
      <c r="I21" s="775" t="s">
        <v>386</v>
      </c>
      <c r="J21" s="776"/>
      <c r="K21" s="13"/>
      <c r="L21" s="13"/>
      <c r="M21" s="13"/>
      <c r="N21" s="13"/>
      <c r="O21" s="13"/>
      <c r="P21" s="13"/>
      <c r="Q21" s="13"/>
      <c r="CC21" s="244"/>
      <c r="CD21" s="244"/>
    </row>
    <row r="22" spans="1:82">
      <c r="A22" s="1212" t="e">
        <f>C22/$C$23</f>
        <v>#DIV/0!</v>
      </c>
      <c r="B22" s="245" t="s">
        <v>654</v>
      </c>
      <c r="C22" s="476"/>
      <c r="D22" s="245" t="s">
        <v>655</v>
      </c>
      <c r="E22" s="476"/>
      <c r="F22" s="1212" t="e">
        <f>E22/C22</f>
        <v>#DIV/0!</v>
      </c>
      <c r="G22" s="13"/>
      <c r="H22" s="13"/>
      <c r="I22" s="13"/>
      <c r="J22" s="13"/>
      <c r="K22" s="13"/>
      <c r="L22" s="13"/>
      <c r="M22" s="13"/>
      <c r="N22" s="13"/>
      <c r="O22" s="13"/>
      <c r="P22" s="13"/>
      <c r="Q22" s="13"/>
      <c r="CC22" s="244"/>
      <c r="CD22" s="244"/>
    </row>
    <row r="23" spans="1:82" s="228" customFormat="1">
      <c r="A23" s="1212"/>
      <c r="B23" s="381" t="s">
        <v>65</v>
      </c>
      <c r="C23" s="478">
        <f>SUM(C20:C22)</f>
        <v>0</v>
      </c>
      <c r="D23" s="381" t="s">
        <v>658</v>
      </c>
      <c r="E23" s="478">
        <f>SUM(E20:E22)</f>
        <v>0</v>
      </c>
      <c r="F23" s="1212"/>
      <c r="I23" s="13"/>
      <c r="M23" s="13"/>
    </row>
    <row r="24" spans="1:82">
      <c r="A24" s="803" t="s">
        <v>146</v>
      </c>
      <c r="B24" s="804"/>
      <c r="C24" s="805"/>
      <c r="D24" s="806"/>
      <c r="E24" s="807"/>
      <c r="F24" s="808"/>
      <c r="G24" s="13"/>
      <c r="H24" s="13"/>
      <c r="I24" s="13"/>
      <c r="J24" s="13"/>
      <c r="K24" s="13"/>
      <c r="L24" s="13"/>
      <c r="M24" s="13"/>
      <c r="N24" s="13"/>
      <c r="O24" s="13"/>
      <c r="P24" s="13"/>
      <c r="Q24" s="13"/>
      <c r="CC24" s="244"/>
      <c r="CD24" s="244"/>
    </row>
    <row r="25" spans="1:82">
      <c r="A25" s="1433"/>
      <c r="B25" s="1442"/>
      <c r="C25" s="1434"/>
      <c r="D25" s="1435"/>
      <c r="E25" s="1436"/>
      <c r="F25" s="1437"/>
      <c r="G25" s="13"/>
      <c r="H25" s="13"/>
      <c r="I25" s="13"/>
      <c r="J25" s="13"/>
      <c r="K25" s="13"/>
      <c r="L25" s="13"/>
      <c r="M25" s="13"/>
      <c r="N25" s="13"/>
      <c r="O25" s="13"/>
      <c r="P25" s="13"/>
      <c r="Q25" s="13"/>
      <c r="CC25" s="244"/>
      <c r="CD25" s="244"/>
    </row>
    <row r="26" spans="1:82">
      <c r="A26" s="1438" t="s">
        <v>822</v>
      </c>
      <c r="B26" s="1439"/>
      <c r="C26" s="1512"/>
      <c r="D26" s="1513"/>
      <c r="E26" s="1440"/>
      <c r="F26" s="1441"/>
      <c r="G26" s="13"/>
      <c r="H26" s="13"/>
      <c r="I26" s="13"/>
      <c r="J26" s="13"/>
      <c r="K26" s="13"/>
      <c r="L26" s="13"/>
      <c r="M26" s="13"/>
      <c r="N26" s="13"/>
      <c r="O26" s="13"/>
      <c r="P26" s="13"/>
      <c r="Q26" s="13"/>
      <c r="CC26" s="244"/>
      <c r="CD26" s="244"/>
    </row>
    <row r="27" spans="1:82" ht="15.75" customHeight="1">
      <c r="A27" s="13"/>
      <c r="B27" s="13"/>
      <c r="C27" s="13"/>
      <c r="D27" s="13"/>
      <c r="E27" s="13"/>
      <c r="F27" s="13"/>
      <c r="G27" s="13"/>
      <c r="H27" s="13"/>
      <c r="I27" s="13"/>
      <c r="J27" s="13"/>
      <c r="K27" s="13"/>
      <c r="L27" s="13"/>
      <c r="M27" s="13"/>
      <c r="N27" s="13"/>
      <c r="O27" s="13"/>
      <c r="P27" s="13"/>
      <c r="Q27" s="13"/>
    </row>
    <row r="28" spans="1:82" ht="15.75" customHeight="1">
      <c r="A28" s="809" t="s">
        <v>52</v>
      </c>
      <c r="B28" s="810"/>
      <c r="C28" s="810"/>
      <c r="D28" s="810"/>
      <c r="E28" s="811"/>
      <c r="F28" s="812"/>
      <c r="G28" s="13"/>
      <c r="H28" s="13"/>
      <c r="I28" s="13"/>
      <c r="J28" s="13"/>
      <c r="K28" s="440"/>
      <c r="L28" s="13"/>
      <c r="M28" s="13"/>
      <c r="N28" s="441"/>
      <c r="O28" s="13"/>
      <c r="P28" s="13"/>
      <c r="Q28" s="13"/>
    </row>
    <row r="29" spans="1:82" ht="15.75" customHeight="1">
      <c r="A29" s="813"/>
      <c r="B29" s="452" t="s">
        <v>2</v>
      </c>
      <c r="C29" s="442" t="s">
        <v>3</v>
      </c>
      <c r="D29" s="382"/>
      <c r="E29" s="442" t="s">
        <v>4</v>
      </c>
      <c r="F29" s="814"/>
      <c r="G29" s="13"/>
      <c r="H29" s="383"/>
      <c r="I29" s="238"/>
      <c r="J29" s="441"/>
      <c r="K29" s="440"/>
      <c r="L29" s="383"/>
      <c r="M29" s="238"/>
      <c r="N29" s="441"/>
      <c r="O29" s="13"/>
      <c r="P29" s="13"/>
      <c r="Q29" s="13"/>
    </row>
    <row r="30" spans="1:82" ht="15.75" customHeight="1">
      <c r="A30" s="374" t="s">
        <v>33</v>
      </c>
      <c r="B30" s="457"/>
      <c r="C30" s="306">
        <v>0</v>
      </c>
      <c r="D30" s="382"/>
      <c r="E30" s="443">
        <f>B30*C30*12</f>
        <v>0</v>
      </c>
      <c r="F30" s="772"/>
      <c r="G30" s="13"/>
      <c r="H30" s="13"/>
      <c r="I30" s="238"/>
      <c r="J30" s="441"/>
      <c r="K30" s="440"/>
      <c r="L30" s="13"/>
      <c r="M30" s="238"/>
      <c r="N30" s="441"/>
      <c r="O30" s="13"/>
      <c r="P30" s="13"/>
      <c r="Q30" s="13"/>
    </row>
    <row r="31" spans="1:82" ht="15.75" customHeight="1">
      <c r="A31" s="374"/>
      <c r="B31" s="694"/>
      <c r="C31" s="444"/>
      <c r="D31" s="382"/>
      <c r="E31" s="445"/>
      <c r="F31" s="815"/>
      <c r="G31" s="13"/>
      <c r="H31" s="13"/>
      <c r="I31" s="238"/>
      <c r="J31" s="441"/>
      <c r="K31" s="440"/>
      <c r="L31" s="13"/>
      <c r="M31" s="238"/>
      <c r="N31" s="441"/>
      <c r="O31" s="13"/>
      <c r="P31" s="13"/>
      <c r="Q31" s="13"/>
    </row>
    <row r="32" spans="1:82" ht="15.75" customHeight="1">
      <c r="A32" s="816"/>
      <c r="B32" s="694" t="s">
        <v>711</v>
      </c>
      <c r="C32" s="446" t="s">
        <v>761</v>
      </c>
      <c r="E32" s="442"/>
      <c r="F32" s="817" t="s">
        <v>653</v>
      </c>
      <c r="G32" s="13"/>
      <c r="H32" s="383"/>
      <c r="I32" s="238"/>
      <c r="J32" s="441"/>
      <c r="K32" s="440"/>
      <c r="L32" s="383"/>
      <c r="M32" s="238"/>
      <c r="N32" s="441"/>
      <c r="O32" s="13"/>
      <c r="P32" s="13"/>
      <c r="Q32" s="13"/>
    </row>
    <row r="33" spans="1:86" ht="15.75" customHeight="1">
      <c r="A33" s="374" t="s">
        <v>427</v>
      </c>
      <c r="B33" s="454">
        <f>E21</f>
        <v>0</v>
      </c>
      <c r="C33" s="375"/>
      <c r="E33" s="443">
        <f>C33*B33</f>
        <v>0</v>
      </c>
      <c r="F33" s="818"/>
      <c r="G33" s="13"/>
      <c r="H33" s="13"/>
      <c r="I33" s="238"/>
      <c r="J33" s="441"/>
      <c r="K33" s="440"/>
      <c r="L33" s="13"/>
      <c r="M33" s="238"/>
      <c r="N33" s="441"/>
      <c r="O33" s="13"/>
      <c r="P33" s="13"/>
      <c r="Q33" s="13"/>
    </row>
    <row r="34" spans="1:86" ht="15.75" customHeight="1">
      <c r="A34" s="819"/>
      <c r="B34" s="454"/>
      <c r="C34" s="385"/>
      <c r="D34" s="386"/>
      <c r="E34" s="443"/>
      <c r="F34" s="772"/>
      <c r="G34" s="13"/>
      <c r="H34" s="13"/>
      <c r="I34" s="238"/>
      <c r="J34" s="441"/>
      <c r="K34" s="440"/>
      <c r="L34" s="13"/>
      <c r="M34" s="238"/>
      <c r="N34" s="441"/>
      <c r="O34" s="13"/>
      <c r="P34" s="13"/>
      <c r="Q34" s="13"/>
    </row>
    <row r="35" spans="1:86" ht="15.75" customHeight="1">
      <c r="A35" s="374" t="s">
        <v>474</v>
      </c>
      <c r="B35" s="454">
        <f>E22</f>
        <v>0</v>
      </c>
      <c r="C35" s="375"/>
      <c r="E35" s="443">
        <f>C35*B35</f>
        <v>0</v>
      </c>
      <c r="F35" s="818"/>
      <c r="G35" s="1176"/>
      <c r="I35" s="238"/>
      <c r="J35" s="441"/>
      <c r="K35" s="440"/>
      <c r="L35" s="13"/>
      <c r="N35" s="441"/>
      <c r="O35" s="13"/>
      <c r="P35" s="13"/>
      <c r="Q35" s="13"/>
    </row>
    <row r="36" spans="1:86" ht="15.75" customHeight="1">
      <c r="A36" s="790"/>
      <c r="B36" s="452"/>
      <c r="C36" s="239"/>
      <c r="D36" s="382"/>
      <c r="E36" s="239"/>
      <c r="F36" s="773"/>
      <c r="G36" s="1176"/>
      <c r="I36" s="238"/>
      <c r="J36" s="441"/>
      <c r="K36" s="440"/>
      <c r="L36" s="13"/>
      <c r="N36" s="441"/>
      <c r="O36" s="13"/>
      <c r="P36" s="13"/>
      <c r="Q36" s="13"/>
    </row>
    <row r="37" spans="1:86" ht="15.75" customHeight="1">
      <c r="A37" s="813"/>
      <c r="B37" s="695" t="s">
        <v>5</v>
      </c>
      <c r="C37" s="447" t="s">
        <v>150</v>
      </c>
      <c r="D37" s="382"/>
      <c r="E37" s="442"/>
      <c r="F37" s="814"/>
      <c r="G37" s="13"/>
      <c r="H37" s="383"/>
      <c r="I37" s="238"/>
      <c r="J37" s="441"/>
      <c r="K37" s="440"/>
      <c r="L37" s="383"/>
      <c r="M37" s="238"/>
      <c r="N37" s="441"/>
      <c r="O37" s="13"/>
      <c r="P37" s="13"/>
      <c r="Q37" s="13"/>
    </row>
    <row r="38" spans="1:86" ht="15.75" customHeight="1">
      <c r="A38" s="374" t="s">
        <v>6</v>
      </c>
      <c r="B38" s="454">
        <f>C16</f>
        <v>0</v>
      </c>
      <c r="C38" s="375"/>
      <c r="D38" s="382"/>
      <c r="E38" s="443">
        <f>C38*B38</f>
        <v>0</v>
      </c>
      <c r="F38" s="772"/>
      <c r="G38" s="13"/>
      <c r="H38" s="13"/>
      <c r="I38" s="238"/>
      <c r="J38" s="441"/>
      <c r="K38" s="440"/>
      <c r="L38" s="13"/>
      <c r="M38" s="238"/>
      <c r="N38" s="441"/>
      <c r="O38" s="13"/>
      <c r="P38" s="13"/>
      <c r="Q38" s="13"/>
    </row>
    <row r="39" spans="1:86" ht="15.75" customHeight="1">
      <c r="A39" s="374"/>
      <c r="B39" s="387"/>
      <c r="C39" s="388"/>
      <c r="D39" s="382"/>
      <c r="E39" s="445"/>
      <c r="F39" s="815"/>
      <c r="G39" s="13"/>
      <c r="H39" s="13"/>
      <c r="I39" s="238"/>
      <c r="J39" s="441"/>
      <c r="K39" s="440"/>
      <c r="L39" s="13"/>
      <c r="M39" s="238"/>
      <c r="N39" s="441"/>
      <c r="O39" s="13"/>
      <c r="P39" s="13"/>
      <c r="Q39" s="13"/>
    </row>
    <row r="40" spans="1:86" ht="15.75" customHeight="1">
      <c r="A40" s="1244"/>
      <c r="B40" s="1245"/>
      <c r="C40" s="1246"/>
      <c r="D40" s="1246" t="s">
        <v>39</v>
      </c>
      <c r="E40" s="1247">
        <f>E30+E33+E35+E38</f>
        <v>0</v>
      </c>
      <c r="F40" s="1248"/>
      <c r="G40" s="228"/>
      <c r="H40" s="777"/>
      <c r="J40" s="441"/>
      <c r="K40" s="440"/>
      <c r="L40" s="451"/>
      <c r="M40" s="238"/>
      <c r="N40" s="441"/>
      <c r="O40" s="13"/>
      <c r="P40" s="13"/>
      <c r="Q40" s="13"/>
    </row>
    <row r="41" spans="1:86" ht="15.75" customHeight="1">
      <c r="A41" s="1249"/>
      <c r="B41" s="1250"/>
      <c r="C41" s="1250"/>
      <c r="D41" s="1251" t="s">
        <v>752</v>
      </c>
      <c r="E41" s="1252" t="e">
        <f>E40/K96</f>
        <v>#DIV/0!</v>
      </c>
      <c r="F41" s="1253"/>
      <c r="G41" s="13"/>
      <c r="I41" s="448"/>
      <c r="J41" s="441"/>
      <c r="K41" s="440"/>
      <c r="L41" s="238"/>
      <c r="M41" s="238"/>
      <c r="N41" s="441"/>
      <c r="O41" s="13"/>
      <c r="P41" s="13"/>
      <c r="Q41" s="13"/>
    </row>
    <row r="42" spans="1:86">
      <c r="A42" s="484" t="s">
        <v>127</v>
      </c>
      <c r="B42" s="486"/>
      <c r="C42" s="486"/>
      <c r="D42" s="1509">
        <f>B2</f>
        <v>0</v>
      </c>
      <c r="E42" s="1510"/>
      <c r="F42" s="1511"/>
      <c r="G42" s="486"/>
      <c r="H42" s="486"/>
      <c r="I42" s="386"/>
      <c r="J42" s="386"/>
      <c r="K42" s="386"/>
      <c r="L42" s="386"/>
      <c r="M42" s="386"/>
      <c r="N42" s="386"/>
      <c r="O42" s="13"/>
      <c r="P42" s="13"/>
      <c r="Q42" s="13"/>
      <c r="Y42" s="449"/>
      <c r="CE42" s="13"/>
      <c r="CF42" s="13"/>
      <c r="CG42" s="13"/>
      <c r="CH42" s="13"/>
    </row>
    <row r="43" spans="1:86" ht="47.25">
      <c r="A43" s="384" t="s">
        <v>56</v>
      </c>
      <c r="B43" s="384" t="s">
        <v>16</v>
      </c>
      <c r="C43" s="487" t="s">
        <v>759</v>
      </c>
      <c r="D43" s="488" t="s">
        <v>122</v>
      </c>
      <c r="E43" s="488" t="s">
        <v>385</v>
      </c>
      <c r="F43" s="488" t="s">
        <v>621</v>
      </c>
      <c r="G43" s="488" t="s">
        <v>387</v>
      </c>
      <c r="H43" s="489" t="s">
        <v>484</v>
      </c>
      <c r="I43" s="488" t="s">
        <v>123</v>
      </c>
      <c r="J43" s="488" t="s">
        <v>483</v>
      </c>
      <c r="K43" s="488" t="s">
        <v>55</v>
      </c>
      <c r="L43" s="489" t="s">
        <v>423</v>
      </c>
      <c r="M43" s="489" t="s">
        <v>422</v>
      </c>
      <c r="N43" s="481"/>
      <c r="O43" s="13"/>
      <c r="P43" s="13"/>
      <c r="Q43" s="13"/>
      <c r="S43" s="264"/>
      <c r="V43" s="264"/>
      <c r="CE43" s="13"/>
      <c r="CF43" s="13"/>
      <c r="CG43" s="13"/>
    </row>
    <row r="44" spans="1:86">
      <c r="A44" s="305" t="s">
        <v>13</v>
      </c>
      <c r="B44" s="474">
        <f>IF(A44="Studio",2, IF(A44="1BR",3, IF(A44="2BR",4, IF(A44="3BR",5, IF(A44="4BR",6)))))</f>
        <v>2</v>
      </c>
      <c r="C44" s="473"/>
      <c r="D44" s="781"/>
      <c r="E44" s="305"/>
      <c r="F44" s="305"/>
      <c r="G44" s="305"/>
      <c r="H44" s="466"/>
      <c r="I44" s="466"/>
      <c r="J44" s="467" t="str">
        <f>IF(H44&gt;0,H44-I44,"")</f>
        <v/>
      </c>
      <c r="K44" s="467" t="str">
        <f>IF(J44&gt;0,J44*D44*12,"")</f>
        <v/>
      </c>
      <c r="L44" s="1170" t="e">
        <f>ROUNDDOWN(+IF($C44=50%,CEILING(MROUND(MROUND('2020 AMI'!$B$59*50%,50)*$C44/50%,50)*INDEX('2020 AMI'!$D$70:$D$75,MATCH($A44,'2020 AMI'!$B$70:$B$75,0)),50),CEILING(MROUND('2020 AMI'!$B$59*50%,50)*INDEX('2020 AMI'!$D$70:$D$75,MATCH($A44,'2020 AMI'!$B$70:$B$75,0)),50)*$C44/50%)*'2020 AMI'!$B$61/12,0)</f>
        <v>#N/A</v>
      </c>
      <c r="M44" s="1308" t="e">
        <f>IF(+'2020 AMI'!H6=0,"",+'2020 AMI'!H6)</f>
        <v>#N/A</v>
      </c>
      <c r="N44" s="1296" t="str">
        <f t="shared" ref="N44:N66" si="1">IF(+D44&gt;0,+D44/$J$94,"")</f>
        <v/>
      </c>
      <c r="O44" s="389" t="str">
        <f>A44</f>
        <v>Studio</v>
      </c>
      <c r="P44" s="13"/>
      <c r="Q44" s="13"/>
      <c r="S44" s="264"/>
      <c r="V44" s="264"/>
      <c r="CE44" s="13"/>
      <c r="CF44" s="13"/>
      <c r="CG44" s="13"/>
    </row>
    <row r="45" spans="1:86">
      <c r="A45" s="305" t="s">
        <v>117</v>
      </c>
      <c r="B45" s="474">
        <f>IF(A45="Studio",2, IF(A45="1BR",3, IF(A45="2BR",4, IF(A45="3BR",5, IF(A45="4BR",6)))))</f>
        <v>3</v>
      </c>
      <c r="C45" s="472">
        <f>C44</f>
        <v>0</v>
      </c>
      <c r="D45" s="781"/>
      <c r="E45" s="305"/>
      <c r="F45" s="305"/>
      <c r="G45" s="305"/>
      <c r="H45" s="466"/>
      <c r="I45" s="466"/>
      <c r="J45" s="467" t="str">
        <f t="shared" ref="J45:J90" si="2">IF(H45&gt;0,H45-I45,"")</f>
        <v/>
      </c>
      <c r="K45" s="467" t="str">
        <f t="shared" ref="K45:K90" si="3">IF(J45&gt;0,J45*D45*12,"")</f>
        <v/>
      </c>
      <c r="L45" s="1170" t="e">
        <f>ROUNDDOWN(+IF($C45=50%,CEILING(MROUND(MROUND('2020 AMI'!$B$59*50%,50)*$C45/50%,50)*INDEX('2020 AMI'!$D$70:$D$75,MATCH($A45,'2020 AMI'!$B$70:$B$75,0)),50),CEILING(MROUND('2020 AMI'!$B$59*50%,50)*INDEX('2020 AMI'!$D$70:$D$75,MATCH($A45,'2020 AMI'!$B$70:$B$75,0)),50)*$C45/50%)*'2020 AMI'!$B$61/12,0)</f>
        <v>#N/A</v>
      </c>
      <c r="M45" s="1308" t="e">
        <f>IF(+'2020 AMI'!H7=0,"",+'2020 AMI'!H7)</f>
        <v>#N/A</v>
      </c>
      <c r="N45" s="1296" t="str">
        <f t="shared" si="1"/>
        <v/>
      </c>
      <c r="O45" s="389" t="str">
        <f>A45</f>
        <v>1BR</v>
      </c>
      <c r="P45" s="13"/>
      <c r="Q45" s="13"/>
      <c r="S45" s="264"/>
      <c r="V45" s="264"/>
      <c r="CE45" s="13"/>
      <c r="CF45" s="13"/>
      <c r="CG45" s="13"/>
    </row>
    <row r="46" spans="1:86">
      <c r="A46" s="305" t="s">
        <v>118</v>
      </c>
      <c r="B46" s="474">
        <f>IF(A46="Studio",2, IF(A46="1BR",3, IF(A46="2BR",4, IF(A46="3BR",5, IF(A46="4BR",6)))))</f>
        <v>4</v>
      </c>
      <c r="C46" s="472">
        <f>+C44</f>
        <v>0</v>
      </c>
      <c r="D46" s="781"/>
      <c r="E46" s="305"/>
      <c r="F46" s="305"/>
      <c r="G46" s="305"/>
      <c r="H46" s="466"/>
      <c r="I46" s="466"/>
      <c r="J46" s="467" t="str">
        <f t="shared" si="2"/>
        <v/>
      </c>
      <c r="K46" s="467" t="str">
        <f t="shared" si="3"/>
        <v/>
      </c>
      <c r="L46" s="1170" t="e">
        <f>ROUNDDOWN(+IF($C46=50%,CEILING(MROUND(MROUND('2020 AMI'!$B$59*50%,50)*$C46/50%,50)*INDEX('2020 AMI'!$D$70:$D$75,MATCH($A46,'2020 AMI'!$B$70:$B$75,0)),50),CEILING(MROUND('2020 AMI'!$B$59*50%,50)*INDEX('2020 AMI'!$D$70:$D$75,MATCH($A46,'2020 AMI'!$B$70:$B$75,0)),50)*$C46/50%)*'2020 AMI'!$B$61/12,0)</f>
        <v>#N/A</v>
      </c>
      <c r="M46" s="1308" t="e">
        <f>IF(+'2020 AMI'!H8=0,"",+'2020 AMI'!H8)</f>
        <v>#N/A</v>
      </c>
      <c r="N46" s="1296" t="str">
        <f t="shared" si="1"/>
        <v/>
      </c>
      <c r="O46" s="389" t="str">
        <f>A46</f>
        <v>2BR</v>
      </c>
      <c r="P46" s="13"/>
      <c r="Q46" s="13"/>
      <c r="S46" s="264"/>
      <c r="V46" s="264"/>
      <c r="CE46" s="13"/>
      <c r="CF46" s="13"/>
      <c r="CG46" s="13"/>
    </row>
    <row r="47" spans="1:86">
      <c r="A47" s="305" t="s">
        <v>119</v>
      </c>
      <c r="B47" s="474">
        <f>IF(A47="Studio",2, IF(A47="1BR",3, IF(A47="2BR",4, IF(A47="3BR",5, IF(A47="4BR",6)))))</f>
        <v>5</v>
      </c>
      <c r="C47" s="472">
        <f>+C44</f>
        <v>0</v>
      </c>
      <c r="D47" s="781"/>
      <c r="E47" s="305"/>
      <c r="F47" s="305"/>
      <c r="G47" s="305"/>
      <c r="H47" s="466"/>
      <c r="I47" s="466"/>
      <c r="J47" s="467" t="str">
        <f t="shared" si="2"/>
        <v/>
      </c>
      <c r="K47" s="467" t="str">
        <f t="shared" si="3"/>
        <v/>
      </c>
      <c r="L47" s="1170" t="e">
        <f>ROUNDDOWN(+IF($C47=50%,CEILING(MROUND(MROUND('2020 AMI'!$B$59*50%,50)*$C47/50%,50)*INDEX('2020 AMI'!$D$70:$D$75,MATCH($A47,'2020 AMI'!$B$70:$B$75,0)),50),CEILING(MROUND('2020 AMI'!$B$59*50%,50)*INDEX('2020 AMI'!$D$70:$D$75,MATCH($A47,'2020 AMI'!$B$70:$B$75,0)),50)*$C47/50%)*'2020 AMI'!$B$61/12,0)</f>
        <v>#N/A</v>
      </c>
      <c r="M47" s="1308" t="e">
        <f>IF(+'2020 AMI'!H9=0,"",+'2020 AMI'!H9)</f>
        <v>#N/A</v>
      </c>
      <c r="N47" s="1296" t="str">
        <f t="shared" si="1"/>
        <v/>
      </c>
      <c r="O47" s="389" t="str">
        <f>A47</f>
        <v>3BR</v>
      </c>
      <c r="P47" s="13"/>
      <c r="Q47" s="13"/>
      <c r="S47" s="264"/>
      <c r="V47" s="264"/>
      <c r="CE47" s="13"/>
      <c r="CF47" s="13"/>
      <c r="CG47" s="13"/>
    </row>
    <row r="48" spans="1:86" ht="15.6" customHeight="1">
      <c r="A48" s="305" t="s">
        <v>120</v>
      </c>
      <c r="B48" s="474">
        <f>IF(A48="Studio",2, IF(A48="1BR",3, IF(A48="2BR",4, IF(A48="3BR",5, IF(A48="4BR",6)))))</f>
        <v>6</v>
      </c>
      <c r="C48" s="472">
        <f>+C44</f>
        <v>0</v>
      </c>
      <c r="D48" s="781"/>
      <c r="E48" s="305"/>
      <c r="F48" s="305"/>
      <c r="G48" s="305"/>
      <c r="H48" s="466"/>
      <c r="I48" s="466"/>
      <c r="J48" s="467" t="str">
        <f t="shared" si="2"/>
        <v/>
      </c>
      <c r="K48" s="467" t="str">
        <f t="shared" si="3"/>
        <v/>
      </c>
      <c r="L48" s="1170" t="e">
        <f>ROUNDDOWN(+IF($C48=50%,CEILING(MROUND(MROUND('2020 AMI'!$B$59*50%,50)*$C48/50%,50)*INDEX('2020 AMI'!$D$70:$D$75,MATCH($A48,'2020 AMI'!$B$70:$B$75,0)),50),CEILING(MROUND('2020 AMI'!$B$59*50%,50)*INDEX('2020 AMI'!$D$70:$D$75,MATCH($A48,'2020 AMI'!$B$70:$B$75,0)),50)*$C48/50%)*'2020 AMI'!$B$61/12,0)</f>
        <v>#N/A</v>
      </c>
      <c r="M48" s="1308" t="e">
        <f>IF(+'2020 AMI'!H10=0,"",+'2020 AMI'!H10)</f>
        <v>#N/A</v>
      </c>
      <c r="N48" s="1296" t="str">
        <f t="shared" si="1"/>
        <v/>
      </c>
      <c r="O48" s="389" t="str">
        <f>A48</f>
        <v>4BR</v>
      </c>
      <c r="P48" s="13"/>
      <c r="Q48" s="13"/>
      <c r="R48" s="390"/>
      <c r="S48" s="264"/>
      <c r="U48" s="390"/>
      <c r="V48" s="264"/>
      <c r="CE48" s="13"/>
      <c r="CF48" s="13"/>
      <c r="CG48" s="13"/>
    </row>
    <row r="49" spans="1:86" s="13" customFormat="1" ht="9.9499999999999993" customHeight="1">
      <c r="A49" s="470"/>
      <c r="B49" s="475"/>
      <c r="C49" s="472"/>
      <c r="D49" s="475"/>
      <c r="E49" s="470"/>
      <c r="F49" s="470"/>
      <c r="G49" s="470"/>
      <c r="H49" s="469"/>
      <c r="I49" s="469"/>
      <c r="J49" s="467" t="str">
        <f t="shared" si="2"/>
        <v/>
      </c>
      <c r="K49" s="467" t="str">
        <f t="shared" si="3"/>
        <v/>
      </c>
      <c r="L49" s="1171"/>
      <c r="M49" s="1308"/>
      <c r="N49" s="1296" t="str">
        <f t="shared" si="1"/>
        <v/>
      </c>
      <c r="O49" s="389"/>
      <c r="S49" s="390"/>
      <c r="V49" s="390"/>
      <c r="W49" s="264"/>
    </row>
    <row r="50" spans="1:86" ht="15.6" customHeight="1">
      <c r="A50" s="305" t="s">
        <v>13</v>
      </c>
      <c r="B50" s="474">
        <f>IF(A50="Studio",2, IF(A50="1BR",3, IF(A50="2BR",4, IF(A50="3BR",5, IF(A50="4BR",6)))))</f>
        <v>2</v>
      </c>
      <c r="C50" s="473"/>
      <c r="D50" s="781"/>
      <c r="E50" s="305"/>
      <c r="F50" s="305"/>
      <c r="G50" s="305"/>
      <c r="H50" s="466"/>
      <c r="I50" s="466"/>
      <c r="J50" s="467" t="str">
        <f t="shared" si="2"/>
        <v/>
      </c>
      <c r="K50" s="467" t="str">
        <f t="shared" si="3"/>
        <v/>
      </c>
      <c r="L50" s="1170" t="e">
        <f>ROUNDDOWN(+IF($C50=50%,CEILING(MROUND(MROUND('2020 AMI'!$B$59*50%,50)*$C50/50%,50)*INDEX('2020 AMI'!$D$70:$D$75,MATCH($A50,'2020 AMI'!$B$70:$B$75,0)),50),CEILING(MROUND('2020 AMI'!$B$59*50%,50)*INDEX('2020 AMI'!$D$70:$D$75,MATCH($A50,'2020 AMI'!$B$70:$B$75,0)),50)*$C50/50%)*'2020 AMI'!$B$61/12,0)</f>
        <v>#N/A</v>
      </c>
      <c r="M50" s="1308" t="e">
        <f>IF(+'2020 AMI'!H12=0,"",+'2020 AMI'!H12)</f>
        <v>#N/A</v>
      </c>
      <c r="N50" s="1296" t="str">
        <f t="shared" si="1"/>
        <v/>
      </c>
      <c r="O50" s="389" t="str">
        <f>A50</f>
        <v>Studio</v>
      </c>
      <c r="P50" s="13"/>
      <c r="Q50" s="13"/>
      <c r="S50" s="264"/>
      <c r="V50" s="264"/>
      <c r="CE50" s="13"/>
      <c r="CF50" s="13"/>
      <c r="CG50" s="13"/>
    </row>
    <row r="51" spans="1:86" ht="15.6" customHeight="1">
      <c r="A51" s="305" t="s">
        <v>117</v>
      </c>
      <c r="B51" s="474">
        <f>IF(A51="Studio",2, IF(A51="1BR",3, IF(A51="2BR",4, IF(A51="3BR",5, IF(A51="4BR",6)))))</f>
        <v>3</v>
      </c>
      <c r="C51" s="472">
        <f>+C50</f>
        <v>0</v>
      </c>
      <c r="D51" s="781"/>
      <c r="E51" s="305"/>
      <c r="F51" s="305"/>
      <c r="G51" s="305"/>
      <c r="H51" s="466"/>
      <c r="I51" s="466"/>
      <c r="J51" s="467" t="str">
        <f t="shared" si="2"/>
        <v/>
      </c>
      <c r="K51" s="467" t="str">
        <f t="shared" si="3"/>
        <v/>
      </c>
      <c r="L51" s="1170" t="e">
        <f>ROUNDDOWN(+IF($C51=50%,CEILING(MROUND(MROUND('2020 AMI'!$B$59*50%,50)*$C51/50%,50)*INDEX('2020 AMI'!$D$70:$D$75,MATCH($A51,'2020 AMI'!$B$70:$B$75,0)),50),CEILING(MROUND('2020 AMI'!$B$59*50%,50)*INDEX('2020 AMI'!$D$70:$D$75,MATCH($A51,'2020 AMI'!$B$70:$B$75,0)),50)*$C51/50%)*'2020 AMI'!$B$61/12,0)</f>
        <v>#N/A</v>
      </c>
      <c r="M51" s="1308" t="e">
        <f>IF(+'2020 AMI'!H13=0,"",+'2020 AMI'!H13)</f>
        <v>#N/A</v>
      </c>
      <c r="N51" s="1296" t="str">
        <f t="shared" si="1"/>
        <v/>
      </c>
      <c r="O51" s="389" t="str">
        <f>A51</f>
        <v>1BR</v>
      </c>
      <c r="P51" s="13"/>
      <c r="Q51" s="13"/>
      <c r="S51" s="264"/>
      <c r="V51" s="264"/>
      <c r="CE51" s="13"/>
      <c r="CF51" s="13"/>
      <c r="CG51" s="13"/>
    </row>
    <row r="52" spans="1:86" ht="15.6" customHeight="1">
      <c r="A52" s="305" t="s">
        <v>118</v>
      </c>
      <c r="B52" s="474">
        <f>IF(A52="Studio",2, IF(A52="1BR",3, IF(A52="2BR",4, IF(A52="3BR",5, IF(A52="4BR",6)))))</f>
        <v>4</v>
      </c>
      <c r="C52" s="472">
        <f>+C50</f>
        <v>0</v>
      </c>
      <c r="D52" s="781"/>
      <c r="E52" s="305"/>
      <c r="F52" s="305"/>
      <c r="G52" s="305"/>
      <c r="H52" s="466"/>
      <c r="I52" s="466"/>
      <c r="J52" s="467" t="str">
        <f t="shared" si="2"/>
        <v/>
      </c>
      <c r="K52" s="467" t="str">
        <f t="shared" si="3"/>
        <v/>
      </c>
      <c r="L52" s="1170" t="e">
        <f>ROUNDDOWN(+IF($C52=50%,CEILING(MROUND(MROUND('2020 AMI'!$B$59*50%,50)*$C52/50%,50)*INDEX('2020 AMI'!$D$70:$D$75,MATCH($A52,'2020 AMI'!$B$70:$B$75,0)),50),CEILING(MROUND('2020 AMI'!$B$59*50%,50)*INDEX('2020 AMI'!$D$70:$D$75,MATCH($A52,'2020 AMI'!$B$70:$B$75,0)),50)*$C52/50%)*'2020 AMI'!$B$61/12,0)</f>
        <v>#N/A</v>
      </c>
      <c r="M52" s="1308" t="e">
        <f>IF(+'2020 AMI'!H14=0,"",+'2020 AMI'!H14)</f>
        <v>#N/A</v>
      </c>
      <c r="N52" s="1296" t="str">
        <f t="shared" si="1"/>
        <v/>
      </c>
      <c r="O52" s="389" t="str">
        <f>A52</f>
        <v>2BR</v>
      </c>
      <c r="P52" s="13"/>
      <c r="Q52" s="13"/>
      <c r="S52" s="264"/>
      <c r="V52" s="264"/>
      <c r="CE52" s="13"/>
      <c r="CF52" s="13"/>
      <c r="CG52" s="13"/>
    </row>
    <row r="53" spans="1:86" ht="15.6" customHeight="1">
      <c r="A53" s="305" t="s">
        <v>119</v>
      </c>
      <c r="B53" s="474">
        <f>IF(A53="Studio",2, IF(A53="1BR",3, IF(A53="2BR",4, IF(A53="3BR",5, IF(A53="4BR",6)))))</f>
        <v>5</v>
      </c>
      <c r="C53" s="472">
        <f>+C50</f>
        <v>0</v>
      </c>
      <c r="D53" s="781"/>
      <c r="E53" s="305"/>
      <c r="F53" s="305"/>
      <c r="G53" s="305"/>
      <c r="H53" s="466"/>
      <c r="I53" s="466"/>
      <c r="J53" s="467" t="str">
        <f t="shared" si="2"/>
        <v/>
      </c>
      <c r="K53" s="467" t="str">
        <f t="shared" si="3"/>
        <v/>
      </c>
      <c r="L53" s="1170" t="e">
        <f>ROUNDDOWN(+IF($C53=50%,CEILING(MROUND(MROUND('2020 AMI'!$B$59*50%,50)*$C53/50%,50)*INDEX('2020 AMI'!$D$70:$D$75,MATCH($A53,'2020 AMI'!$B$70:$B$75,0)),50),CEILING(MROUND('2020 AMI'!$B$59*50%,50)*INDEX('2020 AMI'!$D$70:$D$75,MATCH($A53,'2020 AMI'!$B$70:$B$75,0)),50)*$C53/50%)*'2020 AMI'!$B$61/12,0)</f>
        <v>#N/A</v>
      </c>
      <c r="M53" s="1308" t="e">
        <f>IF(+'2020 AMI'!H15=0,"",+'2020 AMI'!H15)</f>
        <v>#N/A</v>
      </c>
      <c r="N53" s="1296" t="str">
        <f t="shared" si="1"/>
        <v/>
      </c>
      <c r="O53" s="389" t="str">
        <f>A53</f>
        <v>3BR</v>
      </c>
      <c r="P53" s="13"/>
      <c r="Q53" s="13"/>
      <c r="S53" s="391"/>
      <c r="V53" s="391"/>
      <c r="CE53" s="13"/>
      <c r="CF53" s="13"/>
      <c r="CG53" s="13"/>
    </row>
    <row r="54" spans="1:86" ht="15.6" customHeight="1">
      <c r="A54" s="305" t="s">
        <v>120</v>
      </c>
      <c r="B54" s="474">
        <f>IF(A54="Studio",2, IF(A54="1BR",3, IF(A54="2BR",4, IF(A54="3BR",5, IF(A54="4BR",6)))))</f>
        <v>6</v>
      </c>
      <c r="C54" s="472">
        <f>+C50</f>
        <v>0</v>
      </c>
      <c r="D54" s="781"/>
      <c r="E54" s="305"/>
      <c r="F54" s="305"/>
      <c r="G54" s="305"/>
      <c r="H54" s="466"/>
      <c r="I54" s="466"/>
      <c r="J54" s="467" t="str">
        <f t="shared" si="2"/>
        <v/>
      </c>
      <c r="K54" s="467" t="str">
        <f t="shared" si="3"/>
        <v/>
      </c>
      <c r="L54" s="1170" t="e">
        <f>ROUNDDOWN(+IF($C54=50%,CEILING(MROUND(MROUND('2020 AMI'!$B$59*50%,50)*$C54/50%,50)*INDEX('2020 AMI'!$D$70:$D$75,MATCH($A54,'2020 AMI'!$B$70:$B$75,0)),50),CEILING(MROUND('2020 AMI'!$B$59*50%,50)*INDEX('2020 AMI'!$D$70:$D$75,MATCH($A54,'2020 AMI'!$B$70:$B$75,0)),50)*$C54/50%)*'2020 AMI'!$B$61/12,0)</f>
        <v>#N/A</v>
      </c>
      <c r="M54" s="1308" t="e">
        <f>IF(+'2020 AMI'!H16=0,"",+'2020 AMI'!H16)</f>
        <v>#N/A</v>
      </c>
      <c r="N54" s="1296" t="str">
        <f t="shared" si="1"/>
        <v/>
      </c>
      <c r="O54" s="389" t="str">
        <f>A54</f>
        <v>4BR</v>
      </c>
      <c r="P54" s="13"/>
      <c r="Q54" s="13"/>
      <c r="R54" s="390"/>
      <c r="S54" s="264"/>
      <c r="U54" s="390"/>
      <c r="V54" s="264"/>
      <c r="CE54" s="13"/>
      <c r="CF54" s="13"/>
      <c r="CG54" s="13"/>
    </row>
    <row r="55" spans="1:86" ht="9.9499999999999993" customHeight="1">
      <c r="A55" s="387"/>
      <c r="B55" s="474"/>
      <c r="C55" s="472"/>
      <c r="D55" s="782"/>
      <c r="E55" s="387"/>
      <c r="F55" s="387"/>
      <c r="G55" s="387"/>
      <c r="H55" s="471"/>
      <c r="I55" s="462"/>
      <c r="J55" s="467" t="str">
        <f t="shared" si="2"/>
        <v/>
      </c>
      <c r="K55" s="467" t="str">
        <f t="shared" si="3"/>
        <v/>
      </c>
      <c r="L55" s="1170"/>
      <c r="M55" s="1308" t="str">
        <f>IF(+'2020 AMI'!H17=0,"",+'2020 AMI'!H17)</f>
        <v/>
      </c>
      <c r="N55" s="1296" t="str">
        <f t="shared" si="1"/>
        <v/>
      </c>
      <c r="O55" s="389"/>
      <c r="P55" s="13"/>
      <c r="Q55" s="13"/>
      <c r="S55" s="390"/>
      <c r="V55" s="390"/>
      <c r="W55" s="264"/>
      <c r="CE55" s="13"/>
      <c r="CF55" s="13"/>
      <c r="CG55" s="13"/>
      <c r="CH55" s="13"/>
    </row>
    <row r="56" spans="1:86" ht="15.6" customHeight="1">
      <c r="A56" s="305" t="s">
        <v>13</v>
      </c>
      <c r="B56" s="474">
        <f>IF(A56="Studio",2, IF(A56="1BR",3, IF(A56="2BR",4, IF(A56="3BR",5, IF(A56="4BR",6)))))</f>
        <v>2</v>
      </c>
      <c r="C56" s="473"/>
      <c r="D56" s="781"/>
      <c r="E56" s="305"/>
      <c r="F56" s="305"/>
      <c r="G56" s="305"/>
      <c r="H56" s="466"/>
      <c r="I56" s="466"/>
      <c r="J56" s="467" t="str">
        <f t="shared" si="2"/>
        <v/>
      </c>
      <c r="K56" s="467" t="str">
        <f t="shared" si="3"/>
        <v/>
      </c>
      <c r="L56" s="1170" t="e">
        <f>ROUNDDOWN(+IF($C56=50%,CEILING(MROUND(MROUND('2020 AMI'!$B$59*50%,50)*$C56/50%,50)*INDEX('2020 AMI'!$D$70:$D$75,MATCH($A56,'2020 AMI'!$B$70:$B$75,0)),50),CEILING(MROUND('2020 AMI'!$B$59*50%,50)*INDEX('2020 AMI'!$D$70:$D$75,MATCH($A56,'2020 AMI'!$B$70:$B$75,0)),50)*$C56/50%)*'2020 AMI'!$B$61/12,0)</f>
        <v>#N/A</v>
      </c>
      <c r="M56" s="1308" t="e">
        <f>IF(+'2020 AMI'!H18=0,"",+'2020 AMI'!H18)</f>
        <v>#N/A</v>
      </c>
      <c r="N56" s="1296" t="str">
        <f t="shared" si="1"/>
        <v/>
      </c>
      <c r="O56" s="389" t="str">
        <f>A56</f>
        <v>Studio</v>
      </c>
      <c r="P56" s="13"/>
      <c r="Q56" s="13"/>
      <c r="S56" s="264"/>
      <c r="V56" s="264"/>
      <c r="CE56" s="13"/>
      <c r="CF56" s="13"/>
      <c r="CG56" s="13"/>
    </row>
    <row r="57" spans="1:86" ht="15.6" customHeight="1">
      <c r="A57" s="305" t="s">
        <v>117</v>
      </c>
      <c r="B57" s="474">
        <f>IF(A57="Studio",2, IF(A57="1BR",3, IF(A57="2BR",4, IF(A57="3BR",5, IF(A57="4BR",6)))))</f>
        <v>3</v>
      </c>
      <c r="C57" s="472">
        <f>+C56</f>
        <v>0</v>
      </c>
      <c r="D57" s="781"/>
      <c r="E57" s="305"/>
      <c r="F57" s="305"/>
      <c r="G57" s="305"/>
      <c r="H57" s="466"/>
      <c r="I57" s="466"/>
      <c r="J57" s="467" t="str">
        <f t="shared" si="2"/>
        <v/>
      </c>
      <c r="K57" s="467" t="str">
        <f t="shared" si="3"/>
        <v/>
      </c>
      <c r="L57" s="1170" t="e">
        <f>ROUNDDOWN(+IF($C57=50%,CEILING(MROUND(MROUND('2020 AMI'!$B$59*50%,50)*$C57/50%,50)*INDEX('2020 AMI'!$D$70:$D$75,MATCH($A57,'2020 AMI'!$B$70:$B$75,0)),50),CEILING(MROUND('2020 AMI'!$B$59*50%,50)*INDEX('2020 AMI'!$D$70:$D$75,MATCH($A57,'2020 AMI'!$B$70:$B$75,0)),50)*$C57/50%)*'2020 AMI'!$B$61/12,0)</f>
        <v>#N/A</v>
      </c>
      <c r="M57" s="1308" t="e">
        <f>IF(+'2020 AMI'!H19=0,"",+'2020 AMI'!H19)</f>
        <v>#N/A</v>
      </c>
      <c r="N57" s="1296" t="str">
        <f t="shared" si="1"/>
        <v/>
      </c>
      <c r="O57" s="389" t="str">
        <f>A57</f>
        <v>1BR</v>
      </c>
      <c r="P57" s="13"/>
      <c r="Q57" s="13"/>
      <c r="S57" s="264"/>
      <c r="V57" s="264"/>
      <c r="CE57" s="13"/>
      <c r="CF57" s="13"/>
      <c r="CG57" s="13"/>
    </row>
    <row r="58" spans="1:86" ht="15.6" customHeight="1">
      <c r="A58" s="305" t="s">
        <v>118</v>
      </c>
      <c r="B58" s="474">
        <f>IF(A58="Studio",2, IF(A58="1BR",3, IF(A58="2BR",4, IF(A58="3BR",5, IF(A58="4BR",6)))))</f>
        <v>4</v>
      </c>
      <c r="C58" s="472">
        <f>+C56</f>
        <v>0</v>
      </c>
      <c r="D58" s="781"/>
      <c r="E58" s="305"/>
      <c r="F58" s="305"/>
      <c r="G58" s="305"/>
      <c r="H58" s="466"/>
      <c r="I58" s="466"/>
      <c r="J58" s="467" t="str">
        <f t="shared" si="2"/>
        <v/>
      </c>
      <c r="K58" s="467" t="str">
        <f t="shared" si="3"/>
        <v/>
      </c>
      <c r="L58" s="1170" t="e">
        <f>ROUNDDOWN(+IF($C58=50%,CEILING(MROUND(MROUND('2020 AMI'!$B$59*50%,50)*$C58/50%,50)*INDEX('2020 AMI'!$D$70:$D$75,MATCH($A58,'2020 AMI'!$B$70:$B$75,0)),50),CEILING(MROUND('2020 AMI'!$B$59*50%,50)*INDEX('2020 AMI'!$D$70:$D$75,MATCH($A58,'2020 AMI'!$B$70:$B$75,0)),50)*$C58/50%)*'2020 AMI'!$B$61/12,0)</f>
        <v>#N/A</v>
      </c>
      <c r="M58" s="1308" t="e">
        <f>IF(+'2020 AMI'!H20=0,"",+'2020 AMI'!H20)</f>
        <v>#N/A</v>
      </c>
      <c r="N58" s="1296" t="str">
        <f t="shared" si="1"/>
        <v/>
      </c>
      <c r="O58" s="389" t="str">
        <f>A58</f>
        <v>2BR</v>
      </c>
      <c r="P58" s="13"/>
      <c r="Q58" s="13"/>
      <c r="S58" s="264"/>
      <c r="V58" s="264"/>
      <c r="CE58" s="13"/>
      <c r="CF58" s="13"/>
      <c r="CG58" s="13"/>
    </row>
    <row r="59" spans="1:86" ht="15.6" customHeight="1">
      <c r="A59" s="305" t="s">
        <v>119</v>
      </c>
      <c r="B59" s="474">
        <f>IF(A59="Studio",2, IF(A59="1BR",3, IF(A59="2BR",4, IF(A59="3BR",5, IF(A59="4BR",6)))))</f>
        <v>5</v>
      </c>
      <c r="C59" s="472">
        <f>+C56</f>
        <v>0</v>
      </c>
      <c r="D59" s="781"/>
      <c r="E59" s="305"/>
      <c r="F59" s="305"/>
      <c r="G59" s="305"/>
      <c r="H59" s="466"/>
      <c r="I59" s="466"/>
      <c r="J59" s="467" t="str">
        <f t="shared" si="2"/>
        <v/>
      </c>
      <c r="K59" s="467" t="str">
        <f t="shared" si="3"/>
        <v/>
      </c>
      <c r="L59" s="1170" t="e">
        <f>ROUNDDOWN(+IF($C59=50%,CEILING(MROUND(MROUND('2020 AMI'!$B$59*50%,50)*$C59/50%,50)*INDEX('2020 AMI'!$D$70:$D$75,MATCH($A59,'2020 AMI'!$B$70:$B$75,0)),50),CEILING(MROUND('2020 AMI'!$B$59*50%,50)*INDEX('2020 AMI'!$D$70:$D$75,MATCH($A59,'2020 AMI'!$B$70:$B$75,0)),50)*$C59/50%)*'2020 AMI'!$B$61/12,0)</f>
        <v>#N/A</v>
      </c>
      <c r="M59" s="1308" t="e">
        <f>IF(+'2020 AMI'!H21=0,"",+'2020 AMI'!H21)</f>
        <v>#N/A</v>
      </c>
      <c r="N59" s="1296" t="str">
        <f t="shared" si="1"/>
        <v/>
      </c>
      <c r="O59" s="389" t="str">
        <f>A59</f>
        <v>3BR</v>
      </c>
      <c r="P59" s="13"/>
      <c r="Q59" s="13"/>
      <c r="S59" s="264"/>
      <c r="V59" s="264"/>
      <c r="CE59" s="13"/>
      <c r="CF59" s="13"/>
      <c r="CG59" s="13"/>
    </row>
    <row r="60" spans="1:86" ht="15.6" customHeight="1">
      <c r="A60" s="305" t="s">
        <v>120</v>
      </c>
      <c r="B60" s="474">
        <f>IF(A60="Studio",2, IF(A60="1BR",3, IF(A60="2BR",4, IF(A60="3BR",5, IF(A60="4BR",6)))))</f>
        <v>6</v>
      </c>
      <c r="C60" s="472">
        <f>+C56</f>
        <v>0</v>
      </c>
      <c r="D60" s="781"/>
      <c r="E60" s="305"/>
      <c r="F60" s="305"/>
      <c r="G60" s="305"/>
      <c r="H60" s="466"/>
      <c r="I60" s="466"/>
      <c r="J60" s="467" t="str">
        <f t="shared" si="2"/>
        <v/>
      </c>
      <c r="K60" s="467" t="str">
        <f t="shared" si="3"/>
        <v/>
      </c>
      <c r="L60" s="1170" t="e">
        <f>ROUNDDOWN(+IF($C60=50%,CEILING(MROUND(MROUND('2020 AMI'!$B$59*50%,50)*$C60/50%,50)*INDEX('2020 AMI'!$D$70:$D$75,MATCH($A60,'2020 AMI'!$B$70:$B$75,0)),50),CEILING(MROUND('2020 AMI'!$B$59*50%,50)*INDEX('2020 AMI'!$D$70:$D$75,MATCH($A60,'2020 AMI'!$B$70:$B$75,0)),50)*$C60/50%)*'2020 AMI'!$B$61/12,0)</f>
        <v>#N/A</v>
      </c>
      <c r="M60" s="1308" t="e">
        <f>IF(+'2020 AMI'!H22=0,"",+'2020 AMI'!H22)</f>
        <v>#N/A</v>
      </c>
      <c r="N60" s="1296" t="str">
        <f t="shared" si="1"/>
        <v/>
      </c>
      <c r="O60" s="389" t="str">
        <f>A60</f>
        <v>4BR</v>
      </c>
      <c r="P60" s="13"/>
      <c r="Q60" s="13"/>
      <c r="R60" s="390"/>
      <c r="S60" s="264"/>
      <c r="U60" s="390"/>
      <c r="V60" s="264"/>
      <c r="CE60" s="13"/>
      <c r="CF60" s="13"/>
      <c r="CG60" s="13"/>
    </row>
    <row r="61" spans="1:86" ht="9.9499999999999993" customHeight="1">
      <c r="A61" s="387"/>
      <c r="B61" s="474"/>
      <c r="C61" s="472"/>
      <c r="D61" s="782"/>
      <c r="E61" s="387"/>
      <c r="F61" s="387"/>
      <c r="G61" s="387"/>
      <c r="H61" s="471"/>
      <c r="I61" s="462"/>
      <c r="J61" s="467" t="str">
        <f t="shared" si="2"/>
        <v/>
      </c>
      <c r="K61" s="467" t="str">
        <f t="shared" si="3"/>
        <v/>
      </c>
      <c r="L61" s="1170"/>
      <c r="M61" s="1308" t="str">
        <f>IF(+'2020 AMI'!H23=0,"",+'2020 AMI'!H23)</f>
        <v/>
      </c>
      <c r="N61" s="1296" t="str">
        <f t="shared" si="1"/>
        <v/>
      </c>
      <c r="O61" s="389"/>
      <c r="P61" s="13"/>
      <c r="Q61" s="13"/>
      <c r="S61" s="390"/>
      <c r="V61" s="390"/>
      <c r="W61" s="264"/>
      <c r="CE61" s="13"/>
      <c r="CF61" s="13"/>
      <c r="CG61" s="13"/>
      <c r="CH61" s="13"/>
    </row>
    <row r="62" spans="1:86" s="13" customFormat="1" ht="15.6" customHeight="1">
      <c r="A62" s="305" t="s">
        <v>13</v>
      </c>
      <c r="B62" s="474">
        <f>IF(A62="Studio",2, IF(A62="1BR",3, IF(A62="2BR",4, IF(A62="3BR",5, IF(A62="4BR",6)))))</f>
        <v>2</v>
      </c>
      <c r="C62" s="473"/>
      <c r="D62" s="781"/>
      <c r="E62" s="305"/>
      <c r="F62" s="305"/>
      <c r="G62" s="305"/>
      <c r="H62" s="466"/>
      <c r="I62" s="466"/>
      <c r="J62" s="467" t="str">
        <f t="shared" si="2"/>
        <v/>
      </c>
      <c r="K62" s="467" t="str">
        <f t="shared" si="3"/>
        <v/>
      </c>
      <c r="L62" s="1170" t="e">
        <f>ROUNDDOWN(+IF($C62=50%,CEILING(MROUND(MROUND('2020 AMI'!$B$59*50%,50)*$C62/50%,50)*INDEX('2020 AMI'!$D$70:$D$75,MATCH($A62,'2020 AMI'!$B$70:$B$75,0)),50),CEILING(MROUND('2020 AMI'!$B$59*50%,50)*INDEX('2020 AMI'!$D$70:$D$75,MATCH($A62,'2020 AMI'!$B$70:$B$75,0)),50)*$C62/50%)*'2020 AMI'!$B$61/12,0)</f>
        <v>#N/A</v>
      </c>
      <c r="M62" s="1308" t="e">
        <f>IF(+'2020 AMI'!H24=0,"",+'2020 AMI'!H24)</f>
        <v>#N/A</v>
      </c>
      <c r="N62" s="1296" t="str">
        <f t="shared" si="1"/>
        <v/>
      </c>
      <c r="O62" s="389" t="str">
        <f>A62</f>
        <v>Studio</v>
      </c>
      <c r="Q62" s="392"/>
      <c r="S62" s="264"/>
      <c r="T62" s="392"/>
      <c r="V62" s="264"/>
    </row>
    <row r="63" spans="1:86" s="13" customFormat="1" ht="15.6" customHeight="1">
      <c r="A63" s="305" t="s">
        <v>117</v>
      </c>
      <c r="B63" s="474">
        <f>IF(A63="Studio",2, IF(A63="1BR",3, IF(A63="2BR",4, IF(A63="3BR",5, IF(A63="4BR",6)))))</f>
        <v>3</v>
      </c>
      <c r="C63" s="472">
        <f>+C62</f>
        <v>0</v>
      </c>
      <c r="D63" s="781"/>
      <c r="E63" s="305"/>
      <c r="F63" s="305"/>
      <c r="G63" s="305"/>
      <c r="H63" s="466"/>
      <c r="I63" s="466"/>
      <c r="J63" s="467" t="str">
        <f t="shared" si="2"/>
        <v/>
      </c>
      <c r="K63" s="467" t="str">
        <f t="shared" si="3"/>
        <v/>
      </c>
      <c r="L63" s="1170" t="e">
        <f>ROUNDDOWN(+IF($C63=50%,CEILING(MROUND(MROUND('2020 AMI'!$B$59*50%,50)*$C63/50%,50)*INDEX('2020 AMI'!$D$70:$D$75,MATCH($A63,'2020 AMI'!$B$70:$B$75,0)),50),CEILING(MROUND('2020 AMI'!$B$59*50%,50)*INDEX('2020 AMI'!$D$70:$D$75,MATCH($A63,'2020 AMI'!$B$70:$B$75,0)),50)*$C63/50%)*'2020 AMI'!$B$61/12,0)</f>
        <v>#N/A</v>
      </c>
      <c r="M63" s="1308" t="e">
        <f>IF(+'2020 AMI'!H25=0,"",+'2020 AMI'!H25)</f>
        <v>#N/A</v>
      </c>
      <c r="N63" s="1296" t="str">
        <f t="shared" si="1"/>
        <v/>
      </c>
      <c r="O63" s="389" t="str">
        <f>A63</f>
        <v>1BR</v>
      </c>
      <c r="Q63" s="392"/>
      <c r="S63" s="264"/>
      <c r="T63" s="392"/>
      <c r="V63" s="264"/>
    </row>
    <row r="64" spans="1:86" s="13" customFormat="1" ht="15.6" customHeight="1">
      <c r="A64" s="305" t="s">
        <v>118</v>
      </c>
      <c r="B64" s="474">
        <f>IF(A64="Studio",2, IF(A64="1BR",3, IF(A64="2BR",4, IF(A64="3BR",5, IF(A64="4BR",6)))))</f>
        <v>4</v>
      </c>
      <c r="C64" s="472">
        <f>+C62</f>
        <v>0</v>
      </c>
      <c r="D64" s="781"/>
      <c r="E64" s="305"/>
      <c r="F64" s="305"/>
      <c r="G64" s="305"/>
      <c r="H64" s="466"/>
      <c r="I64" s="466"/>
      <c r="J64" s="467" t="str">
        <f t="shared" si="2"/>
        <v/>
      </c>
      <c r="K64" s="467" t="str">
        <f t="shared" si="3"/>
        <v/>
      </c>
      <c r="L64" s="1170" t="e">
        <f>ROUNDDOWN(+IF($C64=50%,CEILING(MROUND(MROUND('2020 AMI'!$B$59*50%,50)*$C64/50%,50)*INDEX('2020 AMI'!$D$70:$D$75,MATCH($A64,'2020 AMI'!$B$70:$B$75,0)),50),CEILING(MROUND('2020 AMI'!$B$59*50%,50)*INDEX('2020 AMI'!$D$70:$D$75,MATCH($A64,'2020 AMI'!$B$70:$B$75,0)),50)*$C64/50%)*'2020 AMI'!$B$61/12,0)</f>
        <v>#N/A</v>
      </c>
      <c r="M64" s="1308" t="e">
        <f>IF(+'2020 AMI'!H26=0,"",+'2020 AMI'!H26)</f>
        <v>#N/A</v>
      </c>
      <c r="N64" s="1296" t="str">
        <f t="shared" si="1"/>
        <v/>
      </c>
      <c r="O64" s="389" t="str">
        <f>A64</f>
        <v>2BR</v>
      </c>
      <c r="Q64" s="392"/>
      <c r="S64" s="264"/>
      <c r="T64" s="392"/>
      <c r="V64" s="264"/>
    </row>
    <row r="65" spans="1:22" s="13" customFormat="1" ht="15.6" customHeight="1">
      <c r="A65" s="305" t="s">
        <v>119</v>
      </c>
      <c r="B65" s="474">
        <f>IF(A65="Studio",2, IF(A65="1BR",3, IF(A65="2BR",4, IF(A65="3BR",5, IF(A65="4BR",6)))))</f>
        <v>5</v>
      </c>
      <c r="C65" s="472">
        <f>+C62</f>
        <v>0</v>
      </c>
      <c r="D65" s="781"/>
      <c r="E65" s="305"/>
      <c r="F65" s="305"/>
      <c r="G65" s="305"/>
      <c r="H65" s="466"/>
      <c r="I65" s="466"/>
      <c r="J65" s="467" t="str">
        <f t="shared" si="2"/>
        <v/>
      </c>
      <c r="K65" s="467" t="str">
        <f t="shared" si="3"/>
        <v/>
      </c>
      <c r="L65" s="1170" t="e">
        <f>ROUNDDOWN(+IF($C65=50%,CEILING(MROUND(MROUND('2020 AMI'!$B$59*50%,50)*$C65/50%,50)*INDEX('2020 AMI'!$D$70:$D$75,MATCH($A65,'2020 AMI'!$B$70:$B$75,0)),50),CEILING(MROUND('2020 AMI'!$B$59*50%,50)*INDEX('2020 AMI'!$D$70:$D$75,MATCH($A65,'2020 AMI'!$B$70:$B$75,0)),50)*$C65/50%)*'2020 AMI'!$B$61/12,0)</f>
        <v>#N/A</v>
      </c>
      <c r="M65" s="1308" t="e">
        <f>IF(+'2020 AMI'!H27=0,"",+'2020 AMI'!H27)</f>
        <v>#N/A</v>
      </c>
      <c r="N65" s="1296" t="str">
        <f t="shared" si="1"/>
        <v/>
      </c>
      <c r="O65" s="389" t="str">
        <f>A65</f>
        <v>3BR</v>
      </c>
      <c r="Q65" s="392"/>
      <c r="S65" s="264"/>
      <c r="T65" s="392"/>
      <c r="V65" s="264"/>
    </row>
    <row r="66" spans="1:22" s="13" customFormat="1" ht="15.6" customHeight="1">
      <c r="A66" s="305" t="s">
        <v>120</v>
      </c>
      <c r="B66" s="474">
        <f>IF(A66="Studio",2, IF(A66="1BR",3, IF(A66="2BR",4, IF(A66="3BR",5, IF(A66="4BR",6)))))</f>
        <v>6</v>
      </c>
      <c r="C66" s="472">
        <f>+C62</f>
        <v>0</v>
      </c>
      <c r="D66" s="781"/>
      <c r="E66" s="305"/>
      <c r="F66" s="305"/>
      <c r="G66" s="305"/>
      <c r="H66" s="466"/>
      <c r="I66" s="466"/>
      <c r="J66" s="467" t="str">
        <f t="shared" si="2"/>
        <v/>
      </c>
      <c r="K66" s="467" t="str">
        <f t="shared" si="3"/>
        <v/>
      </c>
      <c r="L66" s="1170" t="e">
        <f>ROUNDDOWN(+IF($C66=50%,CEILING(MROUND(MROUND('2020 AMI'!$B$59*50%,50)*$C66/50%,50)*INDEX('2020 AMI'!$D$70:$D$75,MATCH($A66,'2020 AMI'!$B$70:$B$75,0)),50),CEILING(MROUND('2020 AMI'!$B$59*50%,50)*INDEX('2020 AMI'!$D$70:$D$75,MATCH($A66,'2020 AMI'!$B$70:$B$75,0)),50)*$C66/50%)*'2020 AMI'!$B$61/12,0)</f>
        <v>#N/A</v>
      </c>
      <c r="M66" s="1308" t="e">
        <f>IF(+'2020 AMI'!H28=0,"",+'2020 AMI'!H28)</f>
        <v>#N/A</v>
      </c>
      <c r="N66" s="1296" t="str">
        <f t="shared" si="1"/>
        <v/>
      </c>
      <c r="O66" s="389" t="str">
        <f>A66</f>
        <v>4BR</v>
      </c>
      <c r="Q66" s="392"/>
      <c r="S66" s="264"/>
      <c r="T66" s="392"/>
      <c r="V66" s="264"/>
    </row>
    <row r="67" spans="1:22" s="13" customFormat="1" ht="9.9499999999999993" customHeight="1">
      <c r="A67" s="387"/>
      <c r="B67" s="239"/>
      <c r="C67" s="472"/>
      <c r="D67" s="782"/>
      <c r="E67" s="387"/>
      <c r="F67" s="387"/>
      <c r="G67" s="387"/>
      <c r="H67" s="387"/>
      <c r="I67" s="482"/>
      <c r="J67" s="467" t="str">
        <f t="shared" si="2"/>
        <v/>
      </c>
      <c r="K67" s="467" t="str">
        <f t="shared" si="3"/>
        <v/>
      </c>
      <c r="L67" s="1170"/>
      <c r="M67" s="1308"/>
      <c r="N67" s="1296"/>
      <c r="O67" s="389"/>
      <c r="Q67" s="392"/>
      <c r="S67" s="264"/>
      <c r="T67" s="392"/>
      <c r="V67" s="264"/>
    </row>
    <row r="68" spans="1:22" s="13" customFormat="1" ht="15.6" customHeight="1">
      <c r="A68" s="305" t="s">
        <v>13</v>
      </c>
      <c r="B68" s="474">
        <f>IF(A68="Studio",2, IF(A68="1BR",3, IF(A68="2BR",4, IF(A68="3BR",5, IF(A68="4BR",6)))))</f>
        <v>2</v>
      </c>
      <c r="C68" s="473"/>
      <c r="D68" s="781"/>
      <c r="E68" s="305"/>
      <c r="F68" s="305"/>
      <c r="G68" s="305"/>
      <c r="H68" s="466"/>
      <c r="I68" s="466"/>
      <c r="J68" s="467" t="str">
        <f t="shared" si="2"/>
        <v/>
      </c>
      <c r="K68" s="467" t="str">
        <f t="shared" si="3"/>
        <v/>
      </c>
      <c r="L68" s="1170" t="e">
        <f>ROUNDDOWN(+IF($C68=50%,CEILING(MROUND(MROUND('2020 AMI'!$B$59*50%,50)*$C68/50%,50)*INDEX('2020 AMI'!$D$70:$D$75,MATCH($A68,'2020 AMI'!$B$70:$B$75,0)),50),CEILING(MROUND('2020 AMI'!$B$59*50%,50)*INDEX('2020 AMI'!$D$70:$D$75,MATCH($A68,'2020 AMI'!$B$70:$B$75,0)),50)*$C68/50%)*'2020 AMI'!$B$61/12,0)</f>
        <v>#N/A</v>
      </c>
      <c r="M68" s="1308" t="e">
        <f>IF(+'2020 AMI'!H30=0,"",+'2020 AMI'!H30)</f>
        <v>#N/A</v>
      </c>
      <c r="N68" s="1296" t="str">
        <f t="shared" ref="N68:N90" si="4">IF(+D68&gt;0,+D68/$J$94,"")</f>
        <v/>
      </c>
      <c r="O68" s="389" t="str">
        <f>A68</f>
        <v>Studio</v>
      </c>
      <c r="Q68" s="392"/>
      <c r="S68" s="264"/>
      <c r="T68" s="392"/>
      <c r="V68" s="264"/>
    </row>
    <row r="69" spans="1:22" s="13" customFormat="1">
      <c r="A69" s="305" t="s">
        <v>117</v>
      </c>
      <c r="B69" s="474">
        <f>IF(A69="Studio",2, IF(A69="1BR",3, IF(A69="2BR",4, IF(A69="3BR",5, IF(A69="4BR",6)))))</f>
        <v>3</v>
      </c>
      <c r="C69" s="472">
        <f>+C68</f>
        <v>0</v>
      </c>
      <c r="D69" s="781"/>
      <c r="E69" s="305"/>
      <c r="F69" s="305"/>
      <c r="G69" s="305"/>
      <c r="H69" s="466"/>
      <c r="I69" s="466"/>
      <c r="J69" s="467" t="str">
        <f t="shared" si="2"/>
        <v/>
      </c>
      <c r="K69" s="467" t="str">
        <f t="shared" si="3"/>
        <v/>
      </c>
      <c r="L69" s="1170" t="e">
        <f>ROUNDDOWN(+IF($C69=50%,CEILING(MROUND(MROUND('2020 AMI'!$B$59*50%,50)*$C69/50%,50)*INDEX('2020 AMI'!$D$70:$D$75,MATCH($A69,'2020 AMI'!$B$70:$B$75,0)),50),CEILING(MROUND('2020 AMI'!$B$59*50%,50)*INDEX('2020 AMI'!$D$70:$D$75,MATCH($A69,'2020 AMI'!$B$70:$B$75,0)),50)*$C69/50%)*'2020 AMI'!$B$61/12,0)</f>
        <v>#N/A</v>
      </c>
      <c r="M69" s="1308" t="e">
        <f>IF(+'2020 AMI'!H31=0,"",+'2020 AMI'!H31)</f>
        <v>#N/A</v>
      </c>
      <c r="N69" s="1296" t="str">
        <f t="shared" si="4"/>
        <v/>
      </c>
      <c r="O69" s="389" t="str">
        <f>A69</f>
        <v>1BR</v>
      </c>
      <c r="Q69" s="392"/>
      <c r="S69" s="264"/>
      <c r="T69" s="392"/>
      <c r="V69" s="264"/>
    </row>
    <row r="70" spans="1:22" s="13" customFormat="1">
      <c r="A70" s="305" t="s">
        <v>118</v>
      </c>
      <c r="B70" s="474">
        <f>IF(A70="Studio",2, IF(A70="1BR",3, IF(A70="2BR",4, IF(A70="3BR",5, IF(A70="4BR",6)))))</f>
        <v>4</v>
      </c>
      <c r="C70" s="472">
        <f>+C68</f>
        <v>0</v>
      </c>
      <c r="D70" s="781"/>
      <c r="E70" s="305"/>
      <c r="F70" s="305"/>
      <c r="G70" s="305"/>
      <c r="H70" s="466"/>
      <c r="I70" s="466"/>
      <c r="J70" s="467" t="str">
        <f t="shared" si="2"/>
        <v/>
      </c>
      <c r="K70" s="467" t="str">
        <f t="shared" si="3"/>
        <v/>
      </c>
      <c r="L70" s="1170" t="e">
        <f>ROUNDDOWN(+IF($C70=50%,CEILING(MROUND(MROUND('2020 AMI'!$B$59*50%,50)*$C70/50%,50)*INDEX('2020 AMI'!$D$70:$D$75,MATCH($A70,'2020 AMI'!$B$70:$B$75,0)),50),CEILING(MROUND('2020 AMI'!$B$59*50%,50)*INDEX('2020 AMI'!$D$70:$D$75,MATCH($A70,'2020 AMI'!$B$70:$B$75,0)),50)*$C70/50%)*'2020 AMI'!$B$61/12,0)</f>
        <v>#N/A</v>
      </c>
      <c r="M70" s="1308" t="e">
        <f>IF(+'2020 AMI'!H32=0,"",+'2020 AMI'!H32)</f>
        <v>#N/A</v>
      </c>
      <c r="N70" s="1296" t="str">
        <f t="shared" si="4"/>
        <v/>
      </c>
      <c r="O70" s="389" t="str">
        <f>A70</f>
        <v>2BR</v>
      </c>
      <c r="Q70" s="392"/>
      <c r="S70" s="264"/>
      <c r="T70" s="392"/>
      <c r="V70" s="264"/>
    </row>
    <row r="71" spans="1:22" s="13" customFormat="1">
      <c r="A71" s="305" t="s">
        <v>119</v>
      </c>
      <c r="B71" s="474">
        <f>IF(A71="Studio",2, IF(A71="1BR",3, IF(A71="2BR",4, IF(A71="3BR",5, IF(A71="4BR",6)))))</f>
        <v>5</v>
      </c>
      <c r="C71" s="472">
        <f>+C68</f>
        <v>0</v>
      </c>
      <c r="D71" s="781"/>
      <c r="E71" s="305"/>
      <c r="F71" s="305"/>
      <c r="G71" s="305"/>
      <c r="H71" s="466"/>
      <c r="I71" s="466"/>
      <c r="J71" s="467" t="str">
        <f t="shared" si="2"/>
        <v/>
      </c>
      <c r="K71" s="467" t="str">
        <f t="shared" si="3"/>
        <v/>
      </c>
      <c r="L71" s="1170" t="e">
        <f>ROUNDDOWN(+IF($C71=50%,CEILING(MROUND(MROUND('2020 AMI'!$B$59*50%,50)*$C71/50%,50)*INDEX('2020 AMI'!$D$70:$D$75,MATCH($A71,'2020 AMI'!$B$70:$B$75,0)),50),CEILING(MROUND('2020 AMI'!$B$59*50%,50)*INDEX('2020 AMI'!$D$70:$D$75,MATCH($A71,'2020 AMI'!$B$70:$B$75,0)),50)*$C71/50%)*'2020 AMI'!$B$61/12,0)</f>
        <v>#N/A</v>
      </c>
      <c r="M71" s="1308" t="e">
        <f>IF(+'2020 AMI'!H33=0,"",+'2020 AMI'!H33)</f>
        <v>#N/A</v>
      </c>
      <c r="N71" s="1296" t="str">
        <f t="shared" si="4"/>
        <v/>
      </c>
      <c r="O71" s="389" t="str">
        <f>A71</f>
        <v>3BR</v>
      </c>
      <c r="Q71" s="392"/>
      <c r="S71" s="264"/>
      <c r="T71" s="392"/>
      <c r="V71" s="264"/>
    </row>
    <row r="72" spans="1:22" s="13" customFormat="1">
      <c r="A72" s="305" t="s">
        <v>120</v>
      </c>
      <c r="B72" s="474">
        <f>IF(A72="Studio",2, IF(A72="1BR",3, IF(A72="2BR",4, IF(A72="3BR",5, IF(A72="4BR",6)))))</f>
        <v>6</v>
      </c>
      <c r="C72" s="472">
        <f>+C68</f>
        <v>0</v>
      </c>
      <c r="D72" s="781"/>
      <c r="E72" s="305"/>
      <c r="F72" s="305"/>
      <c r="G72" s="305"/>
      <c r="H72" s="466"/>
      <c r="I72" s="466"/>
      <c r="J72" s="467" t="str">
        <f t="shared" si="2"/>
        <v/>
      </c>
      <c r="K72" s="467" t="str">
        <f t="shared" si="3"/>
        <v/>
      </c>
      <c r="L72" s="1170" t="e">
        <f>ROUNDDOWN(+IF($C72=50%,CEILING(MROUND(MROUND('2020 AMI'!$B$59*50%,50)*$C72/50%,50)*INDEX('2020 AMI'!$D$70:$D$75,MATCH($A72,'2020 AMI'!$B$70:$B$75,0)),50),CEILING(MROUND('2020 AMI'!$B$59*50%,50)*INDEX('2020 AMI'!$D$70:$D$75,MATCH($A72,'2020 AMI'!$B$70:$B$75,0)),50)*$C72/50%)*'2020 AMI'!$B$61/12,0)</f>
        <v>#N/A</v>
      </c>
      <c r="M72" s="1308" t="e">
        <f>IF(+'2020 AMI'!H34=0,"",+'2020 AMI'!H34)</f>
        <v>#N/A</v>
      </c>
      <c r="N72" s="1296" t="str">
        <f t="shared" si="4"/>
        <v/>
      </c>
      <c r="O72" s="389" t="str">
        <f>A72</f>
        <v>4BR</v>
      </c>
      <c r="Q72" s="392"/>
      <c r="S72" s="264"/>
      <c r="T72" s="392"/>
      <c r="V72" s="264"/>
    </row>
    <row r="73" spans="1:22" s="13" customFormat="1" ht="9.9499999999999993" customHeight="1">
      <c r="A73" s="387"/>
      <c r="B73" s="474"/>
      <c r="C73" s="472"/>
      <c r="D73" s="782"/>
      <c r="E73" s="387"/>
      <c r="F73" s="387"/>
      <c r="G73" s="387"/>
      <c r="H73" s="468"/>
      <c r="I73" s="469"/>
      <c r="J73" s="467" t="str">
        <f t="shared" si="2"/>
        <v/>
      </c>
      <c r="K73" s="467" t="str">
        <f t="shared" si="3"/>
        <v/>
      </c>
      <c r="L73" s="1170"/>
      <c r="M73" s="1308" t="str">
        <f>IF(+'2020 AMI'!H35=0,"",+'2020 AMI'!H35)</f>
        <v/>
      </c>
      <c r="N73" s="1296" t="str">
        <f t="shared" si="4"/>
        <v/>
      </c>
      <c r="O73" s="389"/>
      <c r="Q73" s="392"/>
      <c r="S73" s="264"/>
      <c r="T73" s="392"/>
      <c r="V73" s="264"/>
    </row>
    <row r="74" spans="1:22" s="13" customFormat="1">
      <c r="A74" s="305" t="s">
        <v>13</v>
      </c>
      <c r="B74" s="474">
        <f>IF(A74="Studio",2, IF(A74="1BR",3, IF(A74="2BR",4, IF(A74="3BR",5, IF(A74="4BR",6)))))</f>
        <v>2</v>
      </c>
      <c r="C74" s="473"/>
      <c r="D74" s="781"/>
      <c r="E74" s="305"/>
      <c r="F74" s="305"/>
      <c r="G74" s="305"/>
      <c r="H74" s="466"/>
      <c r="I74" s="466"/>
      <c r="J74" s="467" t="str">
        <f t="shared" si="2"/>
        <v/>
      </c>
      <c r="K74" s="467" t="str">
        <f t="shared" si="3"/>
        <v/>
      </c>
      <c r="L74" s="1170" t="e">
        <f>ROUNDDOWN(+IF($C74=50%,CEILING(MROUND(MROUND('2020 AMI'!$B$59*50%,50)*$C74/50%,50)*INDEX('2020 AMI'!$D$70:$D$75,MATCH($A74,'2020 AMI'!$B$70:$B$75,0)),50),CEILING(MROUND('2020 AMI'!$B$59*50%,50)*INDEX('2020 AMI'!$D$70:$D$75,MATCH($A74,'2020 AMI'!$B$70:$B$75,0)),50)*$C74/50%)*'2020 AMI'!$B$61/12,0)</f>
        <v>#N/A</v>
      </c>
      <c r="M74" s="1308" t="e">
        <f>IF(+'2020 AMI'!H36=0,"",+'2020 AMI'!H36)</f>
        <v>#N/A</v>
      </c>
      <c r="N74" s="1296" t="str">
        <f t="shared" si="4"/>
        <v/>
      </c>
      <c r="O74" s="389" t="str">
        <f>A74</f>
        <v>Studio</v>
      </c>
      <c r="Q74" s="392"/>
      <c r="S74" s="264"/>
      <c r="T74" s="392"/>
      <c r="V74" s="264"/>
    </row>
    <row r="75" spans="1:22" s="13" customFormat="1">
      <c r="A75" s="305" t="s">
        <v>117</v>
      </c>
      <c r="B75" s="474">
        <f>IF(A75="Studio",2, IF(A75="1BR",3, IF(A75="2BR",4, IF(A75="3BR",5, IF(A75="4BR",6)))))</f>
        <v>3</v>
      </c>
      <c r="C75" s="472">
        <f>+C74</f>
        <v>0</v>
      </c>
      <c r="D75" s="781"/>
      <c r="E75" s="305"/>
      <c r="F75" s="305"/>
      <c r="G75" s="305"/>
      <c r="H75" s="466"/>
      <c r="I75" s="466"/>
      <c r="J75" s="467" t="str">
        <f t="shared" si="2"/>
        <v/>
      </c>
      <c r="K75" s="467" t="str">
        <f t="shared" si="3"/>
        <v/>
      </c>
      <c r="L75" s="1170" t="e">
        <f>ROUNDDOWN(+IF($C75=50%,CEILING(MROUND(MROUND('2020 AMI'!$B$59*50%,50)*$C75/50%,50)*INDEX('2020 AMI'!$D$70:$D$75,MATCH($A75,'2020 AMI'!$B$70:$B$75,0)),50),CEILING(MROUND('2020 AMI'!$B$59*50%,50)*INDEX('2020 AMI'!$D$70:$D$75,MATCH($A75,'2020 AMI'!$B$70:$B$75,0)),50)*$C75/50%)*'2020 AMI'!$B$61/12,0)</f>
        <v>#N/A</v>
      </c>
      <c r="M75" s="1308" t="e">
        <f>IF(+'2020 AMI'!H37=0,"",+'2020 AMI'!H37)</f>
        <v>#N/A</v>
      </c>
      <c r="N75" s="1296" t="str">
        <f t="shared" si="4"/>
        <v/>
      </c>
      <c r="O75" s="389" t="str">
        <f>A75</f>
        <v>1BR</v>
      </c>
      <c r="Q75" s="392"/>
      <c r="S75" s="264"/>
      <c r="T75" s="392"/>
      <c r="V75" s="264"/>
    </row>
    <row r="76" spans="1:22" s="13" customFormat="1">
      <c r="A76" s="305" t="s">
        <v>118</v>
      </c>
      <c r="B76" s="474">
        <f>IF(A76="Studio",2, IF(A76="1BR",3, IF(A76="2BR",4, IF(A76="3BR",5, IF(A76="4BR",6)))))</f>
        <v>4</v>
      </c>
      <c r="C76" s="472">
        <f>+C74</f>
        <v>0</v>
      </c>
      <c r="D76" s="781"/>
      <c r="E76" s="305"/>
      <c r="F76" s="305"/>
      <c r="G76" s="305"/>
      <c r="H76" s="466"/>
      <c r="I76" s="466"/>
      <c r="J76" s="467" t="str">
        <f t="shared" si="2"/>
        <v/>
      </c>
      <c r="K76" s="467" t="str">
        <f t="shared" si="3"/>
        <v/>
      </c>
      <c r="L76" s="1170" t="e">
        <f>ROUNDDOWN(+IF($C76=50%,CEILING(MROUND(MROUND('2020 AMI'!$B$59*50%,50)*$C76/50%,50)*INDEX('2020 AMI'!$D$70:$D$75,MATCH($A76,'2020 AMI'!$B$70:$B$75,0)),50),CEILING(MROUND('2020 AMI'!$B$59*50%,50)*INDEX('2020 AMI'!$D$70:$D$75,MATCH($A76,'2020 AMI'!$B$70:$B$75,0)),50)*$C76/50%)*'2020 AMI'!$B$61/12,0)</f>
        <v>#N/A</v>
      </c>
      <c r="M76" s="1308" t="e">
        <f>IF(+'2020 AMI'!H38=0,"",+'2020 AMI'!H38)</f>
        <v>#N/A</v>
      </c>
      <c r="N76" s="1296" t="str">
        <f t="shared" si="4"/>
        <v/>
      </c>
      <c r="O76" s="389" t="str">
        <f>A76</f>
        <v>2BR</v>
      </c>
      <c r="Q76" s="392"/>
      <c r="S76" s="264"/>
      <c r="T76" s="392"/>
      <c r="V76" s="264"/>
    </row>
    <row r="77" spans="1:22" s="13" customFormat="1">
      <c r="A77" s="305" t="s">
        <v>119</v>
      </c>
      <c r="B77" s="474">
        <f>IF(A77="Studio",2, IF(A77="1BR",3, IF(A77="2BR",4, IF(A77="3BR",5, IF(A77="4BR",6)))))</f>
        <v>5</v>
      </c>
      <c r="C77" s="472">
        <f>+C74</f>
        <v>0</v>
      </c>
      <c r="D77" s="781"/>
      <c r="E77" s="305"/>
      <c r="F77" s="305"/>
      <c r="G77" s="305"/>
      <c r="H77" s="466"/>
      <c r="I77" s="466"/>
      <c r="J77" s="467" t="str">
        <f t="shared" si="2"/>
        <v/>
      </c>
      <c r="K77" s="467" t="str">
        <f t="shared" si="3"/>
        <v/>
      </c>
      <c r="L77" s="1170" t="e">
        <f>ROUNDDOWN(+IF($C77=50%,CEILING(MROUND(MROUND('2020 AMI'!$B$59*50%,50)*$C77/50%,50)*INDEX('2020 AMI'!$D$70:$D$75,MATCH($A77,'2020 AMI'!$B$70:$B$75,0)),50),CEILING(MROUND('2020 AMI'!$B$59*50%,50)*INDEX('2020 AMI'!$D$70:$D$75,MATCH($A77,'2020 AMI'!$B$70:$B$75,0)),50)*$C77/50%)*'2020 AMI'!$B$61/12,0)</f>
        <v>#N/A</v>
      </c>
      <c r="M77" s="1308" t="e">
        <f>IF(+'2020 AMI'!H39=0,"",+'2020 AMI'!H39)</f>
        <v>#N/A</v>
      </c>
      <c r="N77" s="1296" t="str">
        <f t="shared" si="4"/>
        <v/>
      </c>
      <c r="O77" s="389" t="str">
        <f>A77</f>
        <v>3BR</v>
      </c>
      <c r="Q77" s="392"/>
      <c r="S77" s="264"/>
      <c r="T77" s="392"/>
      <c r="V77" s="264"/>
    </row>
    <row r="78" spans="1:22" s="13" customFormat="1">
      <c r="A78" s="305" t="s">
        <v>120</v>
      </c>
      <c r="B78" s="474">
        <f>IF(A78="Studio",2, IF(A78="1BR",3, IF(A78="2BR",4, IF(A78="3BR",5, IF(A78="4BR",6)))))</f>
        <v>6</v>
      </c>
      <c r="C78" s="472">
        <f>+C74</f>
        <v>0</v>
      </c>
      <c r="D78" s="781"/>
      <c r="E78" s="305"/>
      <c r="F78" s="305"/>
      <c r="G78" s="305"/>
      <c r="H78" s="466"/>
      <c r="I78" s="466"/>
      <c r="J78" s="467" t="str">
        <f t="shared" si="2"/>
        <v/>
      </c>
      <c r="K78" s="467" t="str">
        <f t="shared" si="3"/>
        <v/>
      </c>
      <c r="L78" s="1170" t="e">
        <f>ROUNDDOWN(+IF($C78=50%,CEILING(MROUND(MROUND('2020 AMI'!$B$59*50%,50)*$C78/50%,50)*INDEX('2020 AMI'!$D$70:$D$75,MATCH($A78,'2020 AMI'!$B$70:$B$75,0)),50),CEILING(MROUND('2020 AMI'!$B$59*50%,50)*INDEX('2020 AMI'!$D$70:$D$75,MATCH($A78,'2020 AMI'!$B$70:$B$75,0)),50)*$C78/50%)*'2020 AMI'!$B$61/12,0)</f>
        <v>#N/A</v>
      </c>
      <c r="M78" s="1308" t="e">
        <f>IF(+'2020 AMI'!H40=0,"",+'2020 AMI'!H40)</f>
        <v>#N/A</v>
      </c>
      <c r="N78" s="1296" t="str">
        <f t="shared" si="4"/>
        <v/>
      </c>
      <c r="O78" s="389" t="str">
        <f>A78</f>
        <v>4BR</v>
      </c>
      <c r="Q78" s="392"/>
      <c r="S78" s="264"/>
      <c r="T78" s="392"/>
      <c r="V78" s="264"/>
    </row>
    <row r="79" spans="1:22" s="13" customFormat="1" ht="9.9499999999999993" customHeight="1">
      <c r="A79" s="387"/>
      <c r="B79" s="474"/>
      <c r="C79" s="472"/>
      <c r="D79" s="782"/>
      <c r="E79" s="387"/>
      <c r="F79" s="387"/>
      <c r="G79" s="387"/>
      <c r="H79" s="468"/>
      <c r="I79" s="462"/>
      <c r="J79" s="467" t="str">
        <f t="shared" si="2"/>
        <v/>
      </c>
      <c r="K79" s="467" t="str">
        <f t="shared" si="3"/>
        <v/>
      </c>
      <c r="L79" s="1170"/>
      <c r="M79" s="1308" t="str">
        <f>IF(+'2020 AMI'!H41=0,"",+'2020 AMI'!H41)</f>
        <v/>
      </c>
      <c r="N79" s="1296" t="str">
        <f t="shared" si="4"/>
        <v/>
      </c>
      <c r="O79" s="389"/>
      <c r="Q79" s="392"/>
      <c r="S79" s="264"/>
      <c r="T79" s="392"/>
      <c r="V79" s="264"/>
    </row>
    <row r="80" spans="1:22" s="13" customFormat="1">
      <c r="A80" s="305" t="s">
        <v>13</v>
      </c>
      <c r="B80" s="474">
        <f>IF(A80="Studio",2, IF(A80="1BR",3, IF(A80="2BR",4, IF(A80="3BR",5, IF(A80="4BR",6)))))</f>
        <v>2</v>
      </c>
      <c r="C80" s="473"/>
      <c r="D80" s="781"/>
      <c r="E80" s="305"/>
      <c r="F80" s="305"/>
      <c r="G80" s="305"/>
      <c r="H80" s="466"/>
      <c r="I80" s="466"/>
      <c r="J80" s="467" t="str">
        <f t="shared" si="2"/>
        <v/>
      </c>
      <c r="K80" s="467" t="str">
        <f t="shared" si="3"/>
        <v/>
      </c>
      <c r="L80" s="1170" t="e">
        <f>ROUNDDOWN(+IF($C80=50%,CEILING(MROUND(MROUND('2020 AMI'!$B$59*50%,50)*$C80/50%,50)*INDEX('2020 AMI'!$D$70:$D$75,MATCH($A80,'2020 AMI'!$B$70:$B$75,0)),50),CEILING(MROUND('2020 AMI'!$B$59*50%,50)*INDEX('2020 AMI'!$D$70:$D$75,MATCH($A80,'2020 AMI'!$B$70:$B$75,0)),50)*$C80/50%)*'2020 AMI'!$B$61/12,0)</f>
        <v>#N/A</v>
      </c>
      <c r="M80" s="1308" t="e">
        <f>IF(+'2020 AMI'!H42=0,"",+'2020 AMI'!H42)</f>
        <v>#N/A</v>
      </c>
      <c r="N80" s="1296" t="str">
        <f t="shared" si="4"/>
        <v/>
      </c>
      <c r="O80" s="389" t="str">
        <f>A80</f>
        <v>Studio</v>
      </c>
      <c r="Q80" s="392"/>
      <c r="S80" s="264"/>
      <c r="T80" s="392"/>
      <c r="V80" s="264"/>
    </row>
    <row r="81" spans="1:23" s="13" customFormat="1">
      <c r="A81" s="305" t="s">
        <v>117</v>
      </c>
      <c r="B81" s="474">
        <f>IF(A81="Studio",2, IF(A81="1BR",3, IF(A81="2BR",4, IF(A81="3BR",5, IF(A81="4BR",6)))))</f>
        <v>3</v>
      </c>
      <c r="C81" s="472">
        <f>+C80</f>
        <v>0</v>
      </c>
      <c r="D81" s="781"/>
      <c r="E81" s="305"/>
      <c r="F81" s="305"/>
      <c r="G81" s="305"/>
      <c r="H81" s="466"/>
      <c r="I81" s="466"/>
      <c r="J81" s="467" t="str">
        <f t="shared" si="2"/>
        <v/>
      </c>
      <c r="K81" s="467" t="str">
        <f t="shared" si="3"/>
        <v/>
      </c>
      <c r="L81" s="1170" t="e">
        <f>ROUNDDOWN(+IF($C81=50%,CEILING(MROUND(MROUND('2020 AMI'!$B$59*50%,50)*$C81/50%,50)*INDEX('2020 AMI'!$D$70:$D$75,MATCH($A81,'2020 AMI'!$B$70:$B$75,0)),50),CEILING(MROUND('2020 AMI'!$B$59*50%,50)*INDEX('2020 AMI'!$D$70:$D$75,MATCH($A81,'2020 AMI'!$B$70:$B$75,0)),50)*$C81/50%)*'2020 AMI'!$B$61/12,0)</f>
        <v>#N/A</v>
      </c>
      <c r="M81" s="1308" t="e">
        <f>IF(+'2020 AMI'!H43=0,"",+'2020 AMI'!H43)</f>
        <v>#N/A</v>
      </c>
      <c r="N81" s="1296" t="str">
        <f t="shared" si="4"/>
        <v/>
      </c>
      <c r="O81" s="389" t="str">
        <f>A81</f>
        <v>1BR</v>
      </c>
      <c r="Q81" s="392"/>
      <c r="S81" s="264"/>
      <c r="T81" s="392"/>
      <c r="V81" s="264"/>
    </row>
    <row r="82" spans="1:23" s="13" customFormat="1">
      <c r="A82" s="305" t="s">
        <v>118</v>
      </c>
      <c r="B82" s="474">
        <f>IF(A82="Studio",2, IF(A82="1BR",3, IF(A82="2BR",4, IF(A82="3BR",5, IF(A82="4BR",6)))))</f>
        <v>4</v>
      </c>
      <c r="C82" s="472">
        <f>+C80</f>
        <v>0</v>
      </c>
      <c r="D82" s="781"/>
      <c r="E82" s="305"/>
      <c r="F82" s="305"/>
      <c r="G82" s="305"/>
      <c r="H82" s="466"/>
      <c r="I82" s="466"/>
      <c r="J82" s="467" t="str">
        <f t="shared" si="2"/>
        <v/>
      </c>
      <c r="K82" s="467" t="str">
        <f t="shared" si="3"/>
        <v/>
      </c>
      <c r="L82" s="1170" t="e">
        <f>ROUNDDOWN(+IF($C82=50%,CEILING(MROUND(MROUND('2020 AMI'!$B$59*50%,50)*$C82/50%,50)*INDEX('2020 AMI'!$D$70:$D$75,MATCH($A82,'2020 AMI'!$B$70:$B$75,0)),50),CEILING(MROUND('2020 AMI'!$B$59*50%,50)*INDEX('2020 AMI'!$D$70:$D$75,MATCH($A82,'2020 AMI'!$B$70:$B$75,0)),50)*$C82/50%)*'2020 AMI'!$B$61/12,0)</f>
        <v>#N/A</v>
      </c>
      <c r="M82" s="1308" t="e">
        <f>IF(+'2020 AMI'!H44=0,"",+'2020 AMI'!H44)</f>
        <v>#N/A</v>
      </c>
      <c r="N82" s="1296" t="str">
        <f t="shared" si="4"/>
        <v/>
      </c>
      <c r="O82" s="389" t="str">
        <f>A82</f>
        <v>2BR</v>
      </c>
      <c r="Q82" s="392"/>
      <c r="S82" s="264"/>
      <c r="T82" s="392"/>
      <c r="V82" s="264"/>
    </row>
    <row r="83" spans="1:23" s="13" customFormat="1">
      <c r="A83" s="305" t="s">
        <v>119</v>
      </c>
      <c r="B83" s="474">
        <f>IF(A83="Studio",2, IF(A83="1BR",3, IF(A83="2BR",4, IF(A83="3BR",5, IF(A83="4BR",6)))))</f>
        <v>5</v>
      </c>
      <c r="C83" s="472">
        <f>+C80</f>
        <v>0</v>
      </c>
      <c r="D83" s="781"/>
      <c r="E83" s="305"/>
      <c r="F83" s="305"/>
      <c r="G83" s="305"/>
      <c r="H83" s="466"/>
      <c r="I83" s="466"/>
      <c r="J83" s="467" t="str">
        <f t="shared" si="2"/>
        <v/>
      </c>
      <c r="K83" s="467" t="str">
        <f t="shared" si="3"/>
        <v/>
      </c>
      <c r="L83" s="1170" t="e">
        <f>ROUNDDOWN(+IF($C83=50%,CEILING(MROUND(MROUND('2020 AMI'!$B$59*50%,50)*$C83/50%,50)*INDEX('2020 AMI'!$D$70:$D$75,MATCH($A83,'2020 AMI'!$B$70:$B$75,0)),50),CEILING(MROUND('2020 AMI'!$B$59*50%,50)*INDEX('2020 AMI'!$D$70:$D$75,MATCH($A83,'2020 AMI'!$B$70:$B$75,0)),50)*$C83/50%)*'2020 AMI'!$B$61/12,0)</f>
        <v>#N/A</v>
      </c>
      <c r="M83" s="1308" t="e">
        <f>IF(+'2020 AMI'!H45=0,"",+'2020 AMI'!H45)</f>
        <v>#N/A</v>
      </c>
      <c r="N83" s="1296" t="str">
        <f t="shared" si="4"/>
        <v/>
      </c>
      <c r="O83" s="389" t="str">
        <f>A83</f>
        <v>3BR</v>
      </c>
      <c r="R83" s="392"/>
      <c r="U83" s="392"/>
      <c r="W83" s="264"/>
    </row>
    <row r="84" spans="1:23" s="13" customFormat="1">
      <c r="A84" s="305" t="s">
        <v>120</v>
      </c>
      <c r="B84" s="474">
        <f>IF(A84="Studio",2, IF(A84="1BR",3, IF(A84="2BR",4, IF(A84="3BR",5, IF(A84="4BR",6)))))</f>
        <v>6</v>
      </c>
      <c r="C84" s="472">
        <f>+C80</f>
        <v>0</v>
      </c>
      <c r="D84" s="781"/>
      <c r="E84" s="305"/>
      <c r="F84" s="305"/>
      <c r="G84" s="305"/>
      <c r="H84" s="466"/>
      <c r="I84" s="466"/>
      <c r="J84" s="467" t="str">
        <f t="shared" si="2"/>
        <v/>
      </c>
      <c r="K84" s="467" t="str">
        <f t="shared" si="3"/>
        <v/>
      </c>
      <c r="L84" s="1170" t="e">
        <f>ROUNDDOWN(+IF($C84=50%,CEILING(MROUND(MROUND('2020 AMI'!$B$59*50%,50)*$C84/50%,50)*INDEX('2020 AMI'!$D$70:$D$75,MATCH($A84,'2020 AMI'!$B$70:$B$75,0)),50),CEILING(MROUND('2020 AMI'!$B$59*50%,50)*INDEX('2020 AMI'!$D$70:$D$75,MATCH($A84,'2020 AMI'!$B$70:$B$75,0)),50)*$C84/50%)*'2020 AMI'!$B$61/12,0)</f>
        <v>#N/A</v>
      </c>
      <c r="M84" s="1308" t="e">
        <f>IF(+'2020 AMI'!H46=0,"",+'2020 AMI'!H46)</f>
        <v>#N/A</v>
      </c>
      <c r="N84" s="1296" t="str">
        <f t="shared" si="4"/>
        <v/>
      </c>
      <c r="O84" s="389" t="str">
        <f>A84</f>
        <v>4BR</v>
      </c>
      <c r="R84" s="392"/>
      <c r="U84" s="392"/>
      <c r="W84" s="264"/>
    </row>
    <row r="85" spans="1:23" s="13" customFormat="1" ht="9.9499999999999993" customHeight="1">
      <c r="A85" s="387"/>
      <c r="B85" s="474"/>
      <c r="C85" s="472"/>
      <c r="D85" s="782"/>
      <c r="E85" s="387"/>
      <c r="F85" s="387"/>
      <c r="G85" s="387"/>
      <c r="H85" s="468"/>
      <c r="I85" s="462"/>
      <c r="J85" s="467" t="str">
        <f t="shared" si="2"/>
        <v/>
      </c>
      <c r="K85" s="467" t="str">
        <f t="shared" si="3"/>
        <v/>
      </c>
      <c r="L85" s="1170"/>
      <c r="M85" s="1308" t="str">
        <f>IF(+'2020 AMI'!H47=0,"",+'2020 AMI'!H47)</f>
        <v/>
      </c>
      <c r="N85" s="1296" t="str">
        <f t="shared" si="4"/>
        <v/>
      </c>
      <c r="O85" s="389"/>
      <c r="Q85" s="392"/>
      <c r="S85" s="264"/>
      <c r="T85" s="392"/>
      <c r="V85" s="264"/>
    </row>
    <row r="86" spans="1:23" s="13" customFormat="1">
      <c r="A86" s="305" t="s">
        <v>13</v>
      </c>
      <c r="B86" s="474">
        <f>IF(A86="Studio",2, IF(A86="1BR",3, IF(A86="2BR",4, IF(A86="3BR",5, IF(A86="4BR",6)))))</f>
        <v>2</v>
      </c>
      <c r="C86" s="473"/>
      <c r="D86" s="781"/>
      <c r="E86" s="305"/>
      <c r="F86" s="305"/>
      <c r="G86" s="305"/>
      <c r="H86" s="466"/>
      <c r="I86" s="466"/>
      <c r="J86" s="467" t="str">
        <f t="shared" si="2"/>
        <v/>
      </c>
      <c r="K86" s="467" t="str">
        <f t="shared" si="3"/>
        <v/>
      </c>
      <c r="L86" s="1170" t="e">
        <f>ROUNDDOWN(+IF($C86=50%,CEILING(MROUND(MROUND('2020 AMI'!$B$59*50%,50)*$C86/50%,50)*INDEX('2020 AMI'!$D$70:$D$75,MATCH($A86,'2020 AMI'!$B$70:$B$75,0)),50),CEILING(MROUND('2020 AMI'!$B$59*50%,50)*INDEX('2020 AMI'!$D$70:$D$75,MATCH($A86,'2020 AMI'!$B$70:$B$75,0)),50)*$C86/50%)*'2020 AMI'!$B$61/12,0)</f>
        <v>#N/A</v>
      </c>
      <c r="M86" s="1308" t="e">
        <f>IF(+'2020 AMI'!H48=0,"",+'2020 AMI'!H48)</f>
        <v>#N/A</v>
      </c>
      <c r="N86" s="1296" t="str">
        <f t="shared" si="4"/>
        <v/>
      </c>
      <c r="O86" s="389" t="str">
        <f>A86</f>
        <v>Studio</v>
      </c>
      <c r="Q86" s="392"/>
      <c r="S86" s="264"/>
      <c r="T86" s="392"/>
      <c r="V86" s="264"/>
    </row>
    <row r="87" spans="1:23" s="13" customFormat="1">
      <c r="A87" s="305" t="s">
        <v>117</v>
      </c>
      <c r="B87" s="474">
        <f>IF(A87="Studio",2, IF(A87="1BR",3, IF(A87="2BR",4, IF(A87="3BR",5, IF(A87="4BR",6)))))</f>
        <v>3</v>
      </c>
      <c r="C87" s="472">
        <f>+C86</f>
        <v>0</v>
      </c>
      <c r="D87" s="781"/>
      <c r="E87" s="305"/>
      <c r="F87" s="305"/>
      <c r="G87" s="305"/>
      <c r="H87" s="466"/>
      <c r="I87" s="466"/>
      <c r="J87" s="467" t="str">
        <f t="shared" si="2"/>
        <v/>
      </c>
      <c r="K87" s="467" t="str">
        <f t="shared" si="3"/>
        <v/>
      </c>
      <c r="L87" s="1170" t="e">
        <f>ROUNDDOWN(+IF($C87=50%,CEILING(MROUND(MROUND('2020 AMI'!$B$59*50%,50)*$C87/50%,50)*INDEX('2020 AMI'!$D$70:$D$75,MATCH($A87,'2020 AMI'!$B$70:$B$75,0)),50),CEILING(MROUND('2020 AMI'!$B$59*50%,50)*INDEX('2020 AMI'!$D$70:$D$75,MATCH($A87,'2020 AMI'!$B$70:$B$75,0)),50)*$C87/50%)*'2020 AMI'!$B$61/12,0)</f>
        <v>#N/A</v>
      </c>
      <c r="M87" s="1308" t="e">
        <f>IF(+'2020 AMI'!H49=0,"",+'2020 AMI'!H49)</f>
        <v>#N/A</v>
      </c>
      <c r="N87" s="1296" t="str">
        <f t="shared" si="4"/>
        <v/>
      </c>
      <c r="O87" s="389" t="str">
        <f>A87</f>
        <v>1BR</v>
      </c>
      <c r="Q87" s="392"/>
      <c r="S87" s="264"/>
      <c r="T87" s="392"/>
      <c r="V87" s="264"/>
    </row>
    <row r="88" spans="1:23" s="13" customFormat="1">
      <c r="A88" s="305" t="s">
        <v>118</v>
      </c>
      <c r="B88" s="474">
        <f>IF(A88="Studio",2, IF(A88="1BR",3, IF(A88="2BR",4, IF(A88="3BR",5, IF(A88="4BR",6)))))</f>
        <v>4</v>
      </c>
      <c r="C88" s="472">
        <f>+C86</f>
        <v>0</v>
      </c>
      <c r="D88" s="781"/>
      <c r="E88" s="305"/>
      <c r="F88" s="305"/>
      <c r="G88" s="305"/>
      <c r="H88" s="466"/>
      <c r="I88" s="466"/>
      <c r="J88" s="467" t="str">
        <f t="shared" si="2"/>
        <v/>
      </c>
      <c r="K88" s="467" t="str">
        <f t="shared" si="3"/>
        <v/>
      </c>
      <c r="L88" s="1170" t="e">
        <f>ROUNDDOWN(+IF($C88=50%,CEILING(MROUND(MROUND('2020 AMI'!$B$59*50%,50)*$C88/50%,50)*INDEX('2020 AMI'!$D$70:$D$75,MATCH($A88,'2020 AMI'!$B$70:$B$75,0)),50),CEILING(MROUND('2020 AMI'!$B$59*50%,50)*INDEX('2020 AMI'!$D$70:$D$75,MATCH($A88,'2020 AMI'!$B$70:$B$75,0)),50)*$C88/50%)*'2020 AMI'!$B$61/12,0)</f>
        <v>#N/A</v>
      </c>
      <c r="M88" s="1308" t="e">
        <f>IF(+'2020 AMI'!H50=0,"",+'2020 AMI'!H50)</f>
        <v>#N/A</v>
      </c>
      <c r="N88" s="1296" t="str">
        <f t="shared" si="4"/>
        <v/>
      </c>
      <c r="O88" s="389" t="str">
        <f>A88</f>
        <v>2BR</v>
      </c>
      <c r="Q88" s="392"/>
      <c r="S88" s="264"/>
      <c r="T88" s="392"/>
      <c r="V88" s="264"/>
    </row>
    <row r="89" spans="1:23" s="13" customFormat="1">
      <c r="A89" s="305" t="s">
        <v>119</v>
      </c>
      <c r="B89" s="474">
        <f>IF(A89="Studio",2, IF(A89="1BR",3, IF(A89="2BR",4, IF(A89="3BR",5, IF(A89="4BR",6)))))</f>
        <v>5</v>
      </c>
      <c r="C89" s="472">
        <f>+C86</f>
        <v>0</v>
      </c>
      <c r="D89" s="781"/>
      <c r="E89" s="305"/>
      <c r="F89" s="305"/>
      <c r="G89" s="305"/>
      <c r="H89" s="466"/>
      <c r="I89" s="466"/>
      <c r="J89" s="467" t="str">
        <f t="shared" si="2"/>
        <v/>
      </c>
      <c r="K89" s="467" t="str">
        <f t="shared" si="3"/>
        <v/>
      </c>
      <c r="L89" s="1170" t="e">
        <f>ROUNDDOWN(+IF($C89=50%,CEILING(MROUND(MROUND('2020 AMI'!$B$59*50%,50)*$C89/50%,50)*INDEX('2020 AMI'!$D$70:$D$75,MATCH($A89,'2020 AMI'!$B$70:$B$75,0)),50),CEILING(MROUND('2020 AMI'!$B$59*50%,50)*INDEX('2020 AMI'!$D$70:$D$75,MATCH($A89,'2020 AMI'!$B$70:$B$75,0)),50)*$C89/50%)*'2020 AMI'!$B$61/12,0)</f>
        <v>#N/A</v>
      </c>
      <c r="M89" s="1308" t="e">
        <f>IF(+'2020 AMI'!H51=0,"",+'2020 AMI'!H51)</f>
        <v>#N/A</v>
      </c>
      <c r="N89" s="1296" t="str">
        <f t="shared" si="4"/>
        <v/>
      </c>
      <c r="O89" s="389" t="str">
        <f>A89</f>
        <v>3BR</v>
      </c>
      <c r="Q89" s="392"/>
      <c r="S89" s="264"/>
      <c r="T89" s="392"/>
      <c r="V89" s="264"/>
    </row>
    <row r="90" spans="1:23" s="13" customFormat="1">
      <c r="A90" s="305" t="s">
        <v>120</v>
      </c>
      <c r="B90" s="474">
        <f>IF(A90="Studio",2, IF(A90="1BR",3, IF(A90="2BR",4, IF(A90="3BR",5, IF(A90="4BR",6)))))</f>
        <v>6</v>
      </c>
      <c r="C90" s="472">
        <f>+C86</f>
        <v>0</v>
      </c>
      <c r="D90" s="781"/>
      <c r="E90" s="305"/>
      <c r="F90" s="305"/>
      <c r="G90" s="305"/>
      <c r="H90" s="466"/>
      <c r="I90" s="466"/>
      <c r="J90" s="467" t="str">
        <f t="shared" si="2"/>
        <v/>
      </c>
      <c r="K90" s="467" t="str">
        <f t="shared" si="3"/>
        <v/>
      </c>
      <c r="L90" s="1170" t="e">
        <f>ROUNDDOWN(+IF($C90=50%,CEILING(MROUND(MROUND('2020 AMI'!$B$59*50%,50)*$C90/50%,50)*INDEX('2020 AMI'!$D$70:$D$75,MATCH($A90,'2020 AMI'!$B$70:$B$75,0)),50),CEILING(MROUND('2020 AMI'!$B$59*50%,50)*INDEX('2020 AMI'!$D$70:$D$75,MATCH($A90,'2020 AMI'!$B$70:$B$75,0)),50)*$C90/50%)*'2020 AMI'!$B$61/12,0)</f>
        <v>#N/A</v>
      </c>
      <c r="M90" s="1308" t="e">
        <f>IF(+'2020 AMI'!H52=0,"",+'2020 AMI'!H52)</f>
        <v>#N/A</v>
      </c>
      <c r="N90" s="1296" t="str">
        <f t="shared" si="4"/>
        <v/>
      </c>
      <c r="O90" s="389" t="str">
        <f>A90</f>
        <v>4BR</v>
      </c>
      <c r="S90" s="264"/>
      <c r="V90" s="264"/>
    </row>
    <row r="91" spans="1:23" s="13" customFormat="1">
      <c r="A91" s="393"/>
      <c r="B91" s="393"/>
      <c r="C91" s="393"/>
      <c r="D91" s="783">
        <f>SUM(D44:D90)</f>
        <v>0</v>
      </c>
      <c r="H91" s="1172"/>
      <c r="I91" s="1173"/>
      <c r="J91" s="485" t="s">
        <v>126</v>
      </c>
      <c r="K91" s="490">
        <f>SUM(K44:K48)+SUM(K50:K54)+SUM(K56:K60)+SUM(K62:K66)+SUM(K68:K72)+SUM(K74:K78)+SUM(K80:K84)+SUM(K86:K90)</f>
        <v>0</v>
      </c>
      <c r="M91" s="1308" t="e">
        <f>IF(+'2020 AMI'!H53=0,"",+'2020 AMI'!H53)</f>
        <v>#N/A</v>
      </c>
      <c r="N91" s="1296">
        <f>SUM(N44:N90)</f>
        <v>0</v>
      </c>
    </row>
    <row r="92" spans="1:23" s="13" customFormat="1">
      <c r="A92" s="393"/>
      <c r="B92" s="393"/>
      <c r="C92" s="393"/>
      <c r="D92" s="783"/>
      <c r="H92" s="1172"/>
      <c r="I92" s="1173"/>
      <c r="J92" s="1446" t="s">
        <v>823</v>
      </c>
      <c r="K92" s="1443">
        <f>E26</f>
        <v>0</v>
      </c>
      <c r="M92" s="1444"/>
      <c r="N92" s="1445"/>
    </row>
    <row r="93" spans="1:23" s="13" customFormat="1">
      <c r="A93" s="393"/>
      <c r="B93" s="393"/>
      <c r="C93" s="393"/>
      <c r="D93" s="783"/>
      <c r="H93" s="1172"/>
      <c r="I93" s="1173"/>
      <c r="J93" s="1446" t="s">
        <v>824</v>
      </c>
      <c r="K93" s="1443">
        <f>SUM(K91:K92)</f>
        <v>0</v>
      </c>
      <c r="M93" s="1444"/>
      <c r="N93" s="1445"/>
    </row>
    <row r="94" spans="1:23" s="13" customFormat="1">
      <c r="H94" s="1172"/>
      <c r="I94" s="1174" t="s">
        <v>140</v>
      </c>
      <c r="J94" s="387">
        <f>SUM(D44:D90)</f>
        <v>0</v>
      </c>
      <c r="K94" s="493"/>
    </row>
    <row r="95" spans="1:23" s="13" customFormat="1">
      <c r="H95" s="1172"/>
      <c r="I95" s="1174" t="s">
        <v>101</v>
      </c>
      <c r="J95" s="387">
        <f>SUMIF($E$44:$E$90,"=LIHTC",$D$44:$D$90)+SUMIF($E$44:$E$90,"=LIHTC &amp; SLIHC",$D$44:$D$90)</f>
        <v>0</v>
      </c>
      <c r="K95" s="494"/>
      <c r="N95" s="1448"/>
    </row>
    <row r="96" spans="1:23" s="13" customFormat="1">
      <c r="H96" s="1172"/>
      <c r="I96" s="1175"/>
      <c r="J96" s="491" t="s">
        <v>138</v>
      </c>
      <c r="K96" s="492">
        <f>K93+E40</f>
        <v>0</v>
      </c>
      <c r="N96" s="1448"/>
    </row>
    <row r="97" spans="1:14" s="13" customFormat="1" ht="47.25">
      <c r="A97" s="384" t="s">
        <v>56</v>
      </c>
      <c r="B97" s="384" t="s">
        <v>16</v>
      </c>
      <c r="C97" s="778" t="s">
        <v>760</v>
      </c>
      <c r="D97" s="779" t="s">
        <v>122</v>
      </c>
      <c r="E97" s="779" t="s">
        <v>385</v>
      </c>
      <c r="F97" s="779" t="s">
        <v>621</v>
      </c>
      <c r="G97" s="779" t="s">
        <v>387</v>
      </c>
      <c r="H97" s="780" t="s">
        <v>484</v>
      </c>
      <c r="I97" s="779" t="s">
        <v>123</v>
      </c>
      <c r="J97" s="779" t="s">
        <v>483</v>
      </c>
      <c r="K97" s="779" t="s">
        <v>55</v>
      </c>
      <c r="L97" s="780" t="s">
        <v>423</v>
      </c>
      <c r="M97" s="780" t="s">
        <v>422</v>
      </c>
      <c r="N97" s="1356"/>
    </row>
    <row r="98" spans="1:14" s="13" customFormat="1"/>
    <row r="99" spans="1:14" s="13" customFormat="1">
      <c r="A99" s="552"/>
    </row>
    <row r="100" spans="1:14" s="13" customFormat="1"/>
    <row r="101" spans="1:14" s="13" customFormat="1"/>
    <row r="102" spans="1:14" s="13" customFormat="1"/>
    <row r="103" spans="1:14" s="13" customFormat="1"/>
    <row r="104" spans="1:14" s="13" customFormat="1"/>
    <row r="105" spans="1:14" s="13" customFormat="1"/>
    <row r="106" spans="1:14" s="13" customFormat="1"/>
    <row r="107" spans="1:14" s="13" customFormat="1"/>
    <row r="108" spans="1:14" s="13" customFormat="1"/>
    <row r="109" spans="1:14" s="13" customFormat="1"/>
    <row r="110" spans="1:14" s="13" customFormat="1"/>
    <row r="111" spans="1:14" s="13" customFormat="1"/>
    <row r="112" spans="1:14"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row r="217" s="13" customFormat="1"/>
    <row r="218" s="13" customFormat="1"/>
    <row r="219" s="13" customFormat="1"/>
    <row r="220" s="13" customFormat="1"/>
    <row r="221" s="13" customFormat="1"/>
    <row r="222" s="13" customFormat="1"/>
    <row r="223" s="13" customFormat="1"/>
    <row r="224" s="13" customFormat="1"/>
    <row r="225" s="13" customFormat="1"/>
    <row r="226" s="13" customFormat="1"/>
    <row r="227" s="13" customFormat="1"/>
    <row r="228" s="13" customFormat="1"/>
    <row r="229" s="13" customFormat="1"/>
    <row r="230" s="13" customFormat="1"/>
    <row r="231" s="13" customFormat="1"/>
    <row r="232" s="13" customFormat="1"/>
    <row r="233" s="13" customFormat="1"/>
    <row r="234" s="13" customFormat="1"/>
    <row r="235" s="13" customFormat="1"/>
    <row r="236" s="13" customFormat="1"/>
    <row r="237" s="13" customFormat="1"/>
    <row r="238" s="13" customFormat="1"/>
    <row r="239" s="13" customFormat="1"/>
    <row r="240" s="13" customFormat="1"/>
    <row r="241" s="13" customFormat="1"/>
    <row r="242" s="13" customFormat="1"/>
    <row r="243" s="13" customFormat="1"/>
    <row r="244" s="13" customFormat="1"/>
    <row r="245" s="13" customFormat="1"/>
    <row r="246" s="13" customFormat="1"/>
    <row r="247" s="13" customFormat="1"/>
    <row r="248" s="13" customFormat="1"/>
    <row r="249" s="13" customFormat="1"/>
    <row r="250" s="13" customFormat="1"/>
    <row r="251" s="13" customFormat="1"/>
    <row r="252" s="13" customFormat="1"/>
    <row r="253" s="13" customFormat="1"/>
    <row r="254" s="13" customFormat="1"/>
    <row r="255" s="13" customFormat="1"/>
    <row r="256" s="13" customFormat="1"/>
    <row r="257" s="13" customFormat="1"/>
    <row r="258" s="13" customFormat="1"/>
    <row r="259" s="13" customFormat="1"/>
    <row r="260" s="13" customFormat="1"/>
    <row r="261" s="13" customFormat="1"/>
    <row r="262" s="13" customFormat="1"/>
    <row r="263" s="13" customFormat="1"/>
    <row r="264" s="13" customFormat="1"/>
    <row r="265" s="13" customFormat="1"/>
    <row r="266" s="13" customFormat="1"/>
    <row r="267" s="13" customFormat="1"/>
    <row r="268" s="13" customFormat="1"/>
    <row r="269" s="13" customFormat="1"/>
    <row r="270" s="13" customFormat="1"/>
    <row r="271" s="13" customFormat="1"/>
    <row r="272" s="13" customFormat="1"/>
    <row r="273" s="13" customFormat="1"/>
    <row r="274" s="13" customFormat="1"/>
    <row r="275" s="13" customFormat="1"/>
    <row r="276" s="13" customFormat="1"/>
    <row r="277" s="13" customFormat="1"/>
    <row r="278" s="13" customFormat="1"/>
    <row r="279" s="13" customFormat="1"/>
    <row r="280" s="13" customFormat="1"/>
    <row r="281" s="13" customFormat="1"/>
    <row r="282" s="13" customFormat="1"/>
    <row r="283" s="13" customFormat="1"/>
    <row r="284" s="13" customFormat="1"/>
    <row r="285" s="13" customFormat="1"/>
    <row r="286" s="13" customFormat="1"/>
    <row r="287" s="13" customFormat="1"/>
    <row r="288" s="13" customFormat="1"/>
    <row r="289" s="13" customFormat="1"/>
    <row r="290" s="13" customFormat="1"/>
    <row r="291" s="13" customFormat="1"/>
    <row r="292" s="13" customFormat="1"/>
    <row r="293" s="13" customFormat="1"/>
    <row r="294" s="13" customFormat="1"/>
    <row r="295" s="13" customFormat="1"/>
    <row r="296" s="13" customFormat="1"/>
    <row r="297" s="13" customFormat="1"/>
    <row r="298" s="13" customFormat="1"/>
    <row r="299" s="13" customFormat="1"/>
    <row r="300" s="13" customFormat="1"/>
    <row r="301" s="13" customFormat="1"/>
    <row r="302" s="13" customFormat="1"/>
    <row r="303" s="13" customFormat="1"/>
    <row r="304" s="13" customFormat="1"/>
    <row r="305" s="13" customFormat="1"/>
    <row r="306" s="13" customFormat="1"/>
    <row r="307" s="13" customFormat="1"/>
    <row r="308" s="13" customFormat="1"/>
    <row r="309" s="13" customFormat="1"/>
    <row r="310" s="13" customFormat="1"/>
    <row r="311" s="13" customFormat="1"/>
    <row r="312" s="13" customFormat="1"/>
    <row r="313" s="13" customFormat="1"/>
    <row r="314" s="13" customFormat="1"/>
    <row r="315" s="13" customFormat="1"/>
    <row r="316" s="13" customFormat="1"/>
    <row r="317" s="13" customFormat="1"/>
    <row r="318" s="13" customFormat="1"/>
    <row r="319" s="13" customFormat="1"/>
    <row r="320" s="13" customFormat="1"/>
    <row r="321" s="13" customFormat="1"/>
    <row r="322" s="13" customFormat="1"/>
    <row r="323" s="13" customFormat="1"/>
    <row r="324" s="13" customFormat="1"/>
    <row r="325" s="13" customFormat="1"/>
    <row r="326" s="13" customFormat="1"/>
    <row r="327" s="13" customFormat="1"/>
    <row r="328" s="13" customFormat="1"/>
    <row r="329" s="13" customFormat="1"/>
    <row r="330" s="13" customFormat="1"/>
    <row r="331" s="13" customFormat="1"/>
    <row r="332" s="13" customFormat="1"/>
    <row r="333" s="13" customFormat="1"/>
    <row r="334" s="13" customFormat="1"/>
    <row r="335" s="13" customFormat="1"/>
    <row r="336" s="13" customFormat="1"/>
    <row r="337" s="13" customFormat="1"/>
    <row r="338" s="13" customFormat="1"/>
    <row r="339" s="13" customFormat="1"/>
    <row r="340" s="13" customFormat="1"/>
    <row r="341" s="13" customFormat="1"/>
    <row r="342" s="13" customFormat="1"/>
    <row r="343" s="13" customFormat="1"/>
    <row r="344" s="13" customFormat="1"/>
    <row r="345" s="13" customFormat="1"/>
    <row r="346" s="13" customFormat="1"/>
    <row r="347" s="13" customFormat="1"/>
    <row r="348" s="13" customFormat="1"/>
    <row r="349" s="13" customFormat="1"/>
    <row r="350" s="13" customFormat="1"/>
    <row r="351" s="13" customFormat="1"/>
    <row r="352" s="13" customFormat="1"/>
    <row r="353" s="13" customFormat="1"/>
    <row r="354" s="13" customFormat="1"/>
    <row r="355" s="13" customFormat="1"/>
    <row r="356" s="13" customFormat="1"/>
    <row r="357" s="13" customFormat="1"/>
    <row r="358" s="13" customFormat="1"/>
    <row r="359" s="13" customFormat="1"/>
    <row r="360" s="13" customFormat="1"/>
    <row r="361" s="13" customFormat="1"/>
    <row r="362" s="13" customFormat="1"/>
    <row r="363" s="13" customFormat="1"/>
    <row r="364" s="13" customFormat="1"/>
    <row r="365" s="13" customFormat="1"/>
    <row r="366" s="13" customFormat="1"/>
    <row r="367" s="13" customFormat="1"/>
    <row r="368" s="13" customFormat="1"/>
    <row r="369" s="13" customFormat="1"/>
    <row r="370" s="13" customFormat="1"/>
    <row r="371" s="13" customFormat="1"/>
    <row r="372" s="13" customFormat="1"/>
    <row r="373" s="13" customFormat="1"/>
    <row r="374" s="13" customFormat="1"/>
    <row r="375" s="13" customFormat="1"/>
    <row r="376" s="13" customFormat="1"/>
    <row r="377" s="13" customFormat="1"/>
    <row r="378" s="13" customFormat="1"/>
    <row r="379" s="13" customFormat="1"/>
    <row r="380" s="13" customFormat="1"/>
    <row r="381" s="13" customFormat="1"/>
    <row r="382" s="13" customFormat="1"/>
    <row r="383" s="13" customFormat="1"/>
    <row r="384" s="13" customFormat="1"/>
    <row r="385" s="13" customFormat="1"/>
    <row r="386" s="13" customFormat="1"/>
    <row r="387" s="13" customFormat="1"/>
    <row r="388" s="13" customFormat="1"/>
    <row r="389" s="13" customFormat="1"/>
    <row r="390" s="13" customFormat="1"/>
    <row r="391" s="13" customFormat="1"/>
    <row r="392" s="13" customFormat="1"/>
    <row r="393" s="13" customFormat="1"/>
    <row r="394" s="13" customFormat="1"/>
    <row r="395" s="13" customFormat="1"/>
    <row r="396" s="13" customFormat="1"/>
    <row r="397" s="13" customFormat="1"/>
    <row r="398" s="13" customFormat="1"/>
    <row r="399" s="13" customFormat="1"/>
    <row r="400" s="13" customFormat="1"/>
    <row r="401" s="13" customFormat="1"/>
    <row r="402" s="13" customFormat="1"/>
    <row r="403" s="13" customFormat="1"/>
    <row r="404" s="13" customFormat="1"/>
    <row r="405" s="13" customFormat="1"/>
    <row r="406" s="13" customFormat="1"/>
    <row r="407" s="13" customFormat="1"/>
    <row r="408" s="13" customFormat="1"/>
    <row r="409" s="13" customFormat="1"/>
    <row r="410" s="13" customFormat="1"/>
    <row r="411" s="13" customFormat="1"/>
    <row r="412" s="13" customFormat="1"/>
    <row r="413" s="13" customFormat="1"/>
    <row r="414" s="13" customFormat="1"/>
    <row r="415" s="13" customFormat="1"/>
    <row r="416" s="13" customFormat="1"/>
    <row r="417" s="13" customFormat="1"/>
    <row r="418" s="13" customFormat="1"/>
    <row r="419" s="13" customFormat="1"/>
    <row r="420" s="13" customFormat="1"/>
    <row r="421" s="13" customFormat="1"/>
    <row r="422" s="13" customFormat="1"/>
    <row r="423" s="13" customFormat="1"/>
    <row r="424" s="13" customFormat="1"/>
    <row r="425" s="13" customFormat="1"/>
    <row r="426" s="13" customFormat="1"/>
    <row r="427" s="13" customFormat="1"/>
    <row r="428" s="13" customFormat="1"/>
    <row r="429" s="13" customFormat="1"/>
    <row r="430" s="13" customFormat="1"/>
    <row r="431" s="13" customFormat="1"/>
    <row r="432" s="13" customFormat="1"/>
    <row r="433" s="13" customFormat="1"/>
    <row r="434" s="13" customFormat="1"/>
    <row r="435" s="13" customFormat="1"/>
    <row r="436" s="13" customFormat="1"/>
    <row r="437" s="13" customFormat="1"/>
    <row r="438" s="13" customFormat="1"/>
    <row r="439" s="13" customFormat="1"/>
    <row r="440" s="13" customFormat="1"/>
    <row r="441" s="13" customFormat="1"/>
    <row r="442" s="13" customFormat="1"/>
    <row r="443" s="13" customFormat="1"/>
    <row r="444" s="13" customFormat="1"/>
    <row r="445" s="13" customFormat="1"/>
    <row r="446" s="13" customFormat="1"/>
    <row r="447" s="13" customFormat="1"/>
    <row r="448" s="13" customFormat="1"/>
    <row r="449" s="13" customFormat="1"/>
    <row r="450" s="13" customFormat="1"/>
    <row r="451" s="13" customFormat="1"/>
    <row r="452" s="13" customFormat="1"/>
    <row r="453" s="13" customFormat="1"/>
    <row r="454" s="13" customFormat="1"/>
    <row r="455" s="13" customFormat="1"/>
    <row r="456" s="13" customFormat="1"/>
    <row r="457" s="13" customFormat="1"/>
    <row r="458" s="13" customFormat="1"/>
    <row r="459" s="13" customFormat="1"/>
    <row r="460" s="13" customFormat="1"/>
    <row r="461" s="13" customFormat="1"/>
    <row r="462" s="13" customFormat="1"/>
    <row r="463" s="13" customFormat="1"/>
    <row r="464" s="13" customFormat="1"/>
    <row r="465" spans="1:14" s="13" customFormat="1"/>
    <row r="466" spans="1:14" s="13" customFormat="1"/>
    <row r="467" spans="1:14" s="13" customFormat="1"/>
    <row r="468" spans="1:14" s="13" customFormat="1"/>
    <row r="469" spans="1:14" s="13" customFormat="1"/>
    <row r="470" spans="1:14" s="13" customFormat="1"/>
    <row r="471" spans="1:14" s="13" customFormat="1"/>
    <row r="472" spans="1:14" s="13" customFormat="1"/>
    <row r="473" spans="1:14">
      <c r="A473" s="13"/>
      <c r="B473" s="13"/>
      <c r="C473" s="13"/>
      <c r="D473" s="13"/>
      <c r="E473" s="13"/>
      <c r="F473" s="13"/>
      <c r="G473" s="13"/>
      <c r="H473" s="13"/>
      <c r="I473" s="13"/>
      <c r="J473" s="13"/>
      <c r="K473" s="13"/>
      <c r="L473" s="13"/>
      <c r="M473" s="13"/>
      <c r="N473" s="13"/>
    </row>
    <row r="474" spans="1:14">
      <c r="I474" s="13"/>
      <c r="J474" s="13"/>
      <c r="M474" s="13"/>
    </row>
  </sheetData>
  <sheetProtection algorithmName="SHA-512" hashValue="Y078QuDFXanKb9Bx26WCsk2yvdvjA43PWB5r1AjXXJKmAo+I22Jsous9m+murXthaS7jX3cCr78sp7DdF5PEIQ==" saltValue="a4H8Xt5e41DSf7CRlpzXOw==" spinCount="100000" sheet="1" objects="1" scenarios="1"/>
  <dataConsolidate link="1"/>
  <customSheetViews>
    <customSheetView guid="{25C4E7E7-1006-4A2D-BC83-AEE4ADF8A914}" scale="75" colorId="22" showPageBreaks="1" fitToPage="1" printArea="1" showRuler="0" topLeftCell="A28">
      <selection activeCell="F39" sqref="F39"/>
      <pageMargins left="0.75" right="0.5" top="0.75" bottom="0.5" header="0.5" footer="0.5"/>
      <pageSetup scale="68" orientation="portrait" r:id="rId1"/>
      <headerFooter alignWithMargins="0"/>
    </customSheetView>
    <customSheetView guid="{28F81D13-D146-4D67-8981-BA5D7A496326}" scale="87" colorId="22" showPageBreaks="1" fitToPage="1" printArea="1" showRuler="0" topLeftCell="A37">
      <selection activeCell="C33" sqref="C33"/>
      <pageMargins left="0.5" right="0.5" top="0.5" bottom="0.5" header="0.5" footer="0.5"/>
      <pageSetup scale="77" orientation="portrait" r:id="rId2"/>
      <headerFooter alignWithMargins="0"/>
    </customSheetView>
    <customSheetView guid="{AEA5979F-5357-4ED6-A6CA-1BB80F5C7A74}" scale="87" colorId="22" showPageBreaks="1" fitToPage="1" printArea="1" showRuler="0" topLeftCell="A10">
      <selection activeCell="B28" sqref="B28"/>
      <pageMargins left="0.5" right="0.5" top="0.5" bottom="0.5" header="0.5" footer="0.5"/>
      <pageSetup scale="77" orientation="portrait" r:id="rId3"/>
      <headerFooter alignWithMargins="0"/>
    </customSheetView>
    <customSheetView guid="{EB776EFC-3589-4DB5-BEAF-1E83D9703F9E}" scale="87" colorId="22" fitToPage="1" showRuler="0" topLeftCell="A38">
      <selection activeCell="A59" sqref="A59"/>
      <pageMargins left="0.5" right="0.5" top="0.5" bottom="0.5" header="0.5" footer="0.5"/>
      <pageSetup scale="80" orientation="portrait" r:id="rId4"/>
      <headerFooter alignWithMargins="0"/>
    </customSheetView>
    <customSheetView guid="{FBB4BF8E-8A9F-4E98-A6F9-5F9BF4C55C67}" scale="87" colorId="22" showPageBreaks="1" fitToPage="1" printArea="1" showRuler="0" topLeftCell="A14">
      <selection activeCell="C29" sqref="C29"/>
      <pageMargins left="0.5" right="0.5" top="0.5" bottom="0.5" header="0.5" footer="0.5"/>
      <pageSetup scale="80" orientation="portrait" r:id="rId5"/>
      <headerFooter alignWithMargins="0"/>
    </customSheetView>
    <customSheetView guid="{6EF643BE-69F3-424E-8A44-3890161370D4}" scale="87" colorId="22" showPageBreaks="1" fitToPage="1" printArea="1" showRuler="0" topLeftCell="A40">
      <selection activeCell="D42" sqref="D42"/>
      <pageMargins left="0.5" right="0.5" top="0.5" bottom="0.5" header="0.5" footer="0.5"/>
      <pageSetup scale="77" orientation="portrait" r:id="rId6"/>
      <headerFooter alignWithMargins="0"/>
    </customSheetView>
    <customSheetView guid="{1ECE83C7-A3CE-4F97-BFD3-498FF783C0D9}" scale="75" colorId="22" showPageBreaks="1" fitToPage="1" printArea="1" showRuler="0">
      <selection activeCell="H29" sqref="H29"/>
      <pageMargins left="0.75" right="0.5" top="0.75" bottom="0.5" header="0.5" footer="0.5"/>
      <pageSetup scale="75" orientation="portrait" r:id="rId7"/>
      <headerFooter alignWithMargins="0"/>
    </customSheetView>
    <customSheetView guid="{560D4AFA-61E5-46C3-B0CD-D0EB3053A033}" scale="75" colorId="22" showPageBreaks="1" fitToPage="1" printArea="1" showRuler="0" topLeftCell="A4">
      <selection activeCell="B5" sqref="B5"/>
      <pageMargins left="0.75" right="0.5" top="0.75" bottom="0.5" header="0.5" footer="0.5"/>
      <pageSetup scale="66" orientation="portrait" r:id="rId8"/>
      <headerFooter alignWithMargins="0"/>
    </customSheetView>
  </customSheetViews>
  <mergeCells count="4">
    <mergeCell ref="B3:C3"/>
    <mergeCell ref="B2:D2"/>
    <mergeCell ref="D42:F42"/>
    <mergeCell ref="C26:D26"/>
  </mergeCells>
  <phoneticPr fontId="0" type="noConversion"/>
  <dataValidations xWindow="748" yWindow="549" count="16">
    <dataValidation type="list" allowBlank="1" showInputMessage="1" showErrorMessage="1" sqref="H19" xr:uid="{4229068C-2251-492B-BCEE-57D6AF2E3CC1}">
      <formula1>"Yes, No"</formula1>
    </dataValidation>
    <dataValidation type="decimal" allowBlank="1" showInputMessage="1" showErrorMessage="1" sqref="C45:C48" xr:uid="{7B8A7CE1-CBFC-4CFD-8174-BC17742C4387}">
      <formula1>0.2</formula1>
      <formula2>1.6</formula2>
    </dataValidation>
    <dataValidation type="list" allowBlank="1" showInputMessage="1" showErrorMessage="1" promptTitle="IA Election" sqref="F5" xr:uid="{57E5D95A-BD8A-4BC8-8D9E-D6FFEE145E1D}">
      <formula1>"No, Yes"</formula1>
    </dataValidation>
    <dataValidation type="list" allowBlank="1" showInputMessage="1" showErrorMessage="1" sqref="G79 G73" xr:uid="{F2FF6A3E-9336-4654-8F76-708599E95AAB}">
      <formula1>"None, HCR Hsng. Choice Vo, Non-HCR Hsing Choice Vo, ESSHI, OMH, USDA RD, Other"</formula1>
    </dataValidation>
    <dataValidation allowBlank="1" showInputMessage="1" showErrorMessage="1" promptTitle="Rental Assistance Program" prompt="If applicable, indicate the rental assistance available for the units._x000a_ " sqref="G43 G97" xr:uid="{74B5CD87-E6E9-49CF-A344-93642F72A047}"/>
    <dataValidation allowBlank="1" showInputMessage="1" showErrorMessage="1" promptTitle="GSF" prompt="Enter the gross square footage of the indicated use." sqref="C18" xr:uid="{7904AA22-583C-47CD-A2B4-D7624B11C553}"/>
    <dataValidation allowBlank="1" showInputMessage="1" showErrorMessage="1" promptTitle="Avg NSF/du" prompt="Enter the average net square footage of each dwelling unit size.  The rentable square footage should be indicated here._x000a_" sqref="F8 F14 F26" xr:uid="{1D982380-A2A9-4A1E-887B-A822CCB3C406}"/>
    <dataValidation allowBlank="1" showErrorMessage="1" promptTitle="Lot SF" prompt="_x000a_" sqref="B24:B25" xr:uid="{C38ED0D1-D552-4E7D-962F-6C9C454678B5}"/>
    <dataValidation allowBlank="1" showErrorMessage="1" promptTitle="CIF Used  for CSF" sqref="F33" xr:uid="{ADCF7F38-5E42-4A96-8206-C7E001AFF62F}"/>
    <dataValidation allowBlank="1" showErrorMessage="1" promptTitle="CIF Used  for Other non-Res" prompt="_x000a_" sqref="F35" xr:uid="{BE6971B7-44CB-4CE2-83DE-D4140F2F1BEA}"/>
    <dataValidation type="list" allowBlank="1" showInputMessage="1" showErrorMessage="1" sqref="G86:G90 G56:G60 G50:G54 G62:G66 G68:G72 G74:G78 G80:G84 G45:G48" xr:uid="{ECF46939-0417-4A62-B6BD-6F470D683797}">
      <formula1>"None, HCR HCV, Non-HCR HCV, ESSHI, OMH, USDA RD, Other"</formula1>
    </dataValidation>
    <dataValidation allowBlank="1" showErrorMessage="1" prompt="_x000a_" sqref="C20:C22 E20:E22 E26" xr:uid="{64F7E039-3463-494C-94BF-8A9630CC7B2D}"/>
    <dataValidation type="decimal" allowBlank="1" showErrorMessage="1" promptTitle="AMI Limit" sqref="C50 C68 C74 C62 C80 C44 C56 C86" xr:uid="{D5E82E5D-D7D9-44B2-8881-F9489BA691CE}">
      <formula1>0</formula1>
      <formula2>1.65</formula2>
    </dataValidation>
    <dataValidation allowBlank="1" showErrorMessage="1" sqref="F43:F90" xr:uid="{70ED1CAE-DB89-4EC4-9108-77CE273F966E}"/>
    <dataValidation type="list" allowBlank="1" showInputMessage="1" showErrorMessage="1" sqref="E50:E54 E44:E48 E86:E90 E80:E84 E62:E66 E68:E72 E74:E78 E56:E60" xr:uid="{58346899-5C51-44BF-9A43-343855CE38B0}">
      <formula1>$Q$3:$Q$6</formula1>
    </dataValidation>
    <dataValidation type="list" allowBlank="1" showInputMessage="1" showErrorMessage="1" sqref="G44" xr:uid="{576ADBBA-4ADB-4423-9710-7E31876BFC1E}">
      <formula1>"None, HCR HCV, Non-HCR HCV, ESSHI, OMH, OPWDD, USDA RD, Other"</formula1>
    </dataValidation>
  </dataValidations>
  <pageMargins left="0.75" right="0.45" top="0.5" bottom="0.25" header="0.3" footer="0.3"/>
  <pageSetup scale="66" firstPageNumber="209" fitToHeight="2" orientation="landscape" r:id="rId9"/>
  <headerFooter alignWithMargins="0"/>
  <rowBreaks count="1" manualBreakCount="1">
    <brk id="41" max="13" man="1"/>
  </rowBreaks>
  <legacyDrawing r:id="rId10"/>
  <extLst>
    <ext xmlns:x14="http://schemas.microsoft.com/office/spreadsheetml/2009/9/main" uri="{CCE6A557-97BC-4b89-ADB6-D9C93CAAB3DF}">
      <x14:dataValidations xmlns:xm="http://schemas.microsoft.com/office/excel/2006/main" xWindow="748" yWindow="549" count="2">
        <x14:dataValidation type="list" allowBlank="1" showInputMessage="1" showErrorMessage="1" xr:uid="{00D0AE12-0621-40B9-AF25-97A7B2D3F738}">
          <x14:formula1>
            <xm:f>'\\hcr-vdi.svc.ny.gov\roam\Users\rikflan\Desktop\Latest Forms\G:\Application Revision Project\[RFT_Underwriting application CF Oct 1.xlsm]2019 AMI'!#REF!</xm:f>
          </x14:formula1>
          <xm:sqref>A55 A61 A67 A73 A79 A85</xm:sqref>
        </x14:dataValidation>
        <x14:dataValidation type="list" allowBlank="1" showInputMessage="1" showErrorMessage="1" xr:uid="{0526F81C-A56A-4A8A-8F0F-EF020977B1AB}">
          <x14:formula1>
            <xm:f>'2020 AMI'!$B$70:$B$74</xm:f>
          </x14:formula1>
          <xm:sqref>A44:A48 A62:A66 A86:A90 A80:A84 A74:A78 A68:A72 A56:A60 A50:A54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W113"/>
  <sheetViews>
    <sheetView showGridLines="0" zoomScaleNormal="100" workbookViewId="0"/>
  </sheetViews>
  <sheetFormatPr defaultColWidth="8.88671875" defaultRowHeight="15.75"/>
  <cols>
    <col min="1" max="1" width="14.6640625" style="396" customWidth="1"/>
    <col min="2" max="2" width="35.109375" style="396" customWidth="1"/>
    <col min="3" max="4" width="13.77734375" style="394" customWidth="1"/>
    <col min="5" max="6" width="12.21875" style="395" customWidth="1"/>
    <col min="7" max="7" width="11.109375" style="395" bestFit="1" customWidth="1"/>
    <col min="8" max="8" width="7.44140625" style="396" customWidth="1"/>
    <col min="9" max="9" width="18.109375" style="396" customWidth="1"/>
    <col min="10" max="10" width="15" style="397" customWidth="1"/>
    <col min="11" max="11" width="13.33203125" style="396" customWidth="1"/>
    <col min="12" max="12" width="30.44140625" style="100" customWidth="1"/>
    <col min="13" max="16384" width="8.88671875" style="396"/>
  </cols>
  <sheetData>
    <row r="1" spans="1:15" s="13" customFormat="1">
      <c r="A1" s="435" t="str">
        <f>'Sources and Uses'!A2</f>
        <v>Project Name:</v>
      </c>
      <c r="B1" s="1538">
        <f>'Sources and Uses'!B2</f>
        <v>0</v>
      </c>
      <c r="C1" s="1539"/>
      <c r="D1" s="500" t="s">
        <v>15</v>
      </c>
      <c r="E1" s="499">
        <f>'Units &amp; Income'!C16</f>
        <v>0</v>
      </c>
      <c r="F1" s="526"/>
      <c r="I1" s="398"/>
      <c r="L1" s="383"/>
    </row>
    <row r="2" spans="1:15" s="13" customFormat="1">
      <c r="A2" s="435" t="str">
        <f>'Sources and Uses'!A4</f>
        <v>Project County:</v>
      </c>
      <c r="B2" s="10">
        <f>'Sources and Uses'!B4</f>
        <v>0</v>
      </c>
      <c r="D2" s="500" t="s">
        <v>16</v>
      </c>
      <c r="E2" s="499">
        <f>'Units &amp; Income'!E16</f>
        <v>0</v>
      </c>
      <c r="F2" s="226"/>
      <c r="I2" s="398"/>
      <c r="L2" s="383"/>
    </row>
    <row r="3" spans="1:15" s="13" customFormat="1">
      <c r="A3" s="10"/>
      <c r="B3" s="10"/>
      <c r="C3" s="221"/>
      <c r="D3" s="221"/>
      <c r="E3" s="226"/>
      <c r="F3" s="226"/>
      <c r="I3" s="398"/>
      <c r="L3" s="383"/>
    </row>
    <row r="4" spans="1:15" s="13" customFormat="1">
      <c r="A4" s="92" t="s">
        <v>42</v>
      </c>
      <c r="B4" s="92"/>
      <c r="C4" s="390"/>
      <c r="D4" s="390"/>
      <c r="E4" s="226"/>
      <c r="F4" s="226"/>
      <c r="G4" s="226"/>
      <c r="I4" s="93"/>
      <c r="L4" s="383"/>
    </row>
    <row r="5" spans="1:15" s="13" customFormat="1">
      <c r="A5" s="13" t="s">
        <v>803</v>
      </c>
      <c r="C5" s="390"/>
      <c r="D5" s="390"/>
      <c r="E5" s="226"/>
      <c r="F5" s="226"/>
      <c r="G5" s="226"/>
      <c r="I5" s="93"/>
      <c r="L5" s="383"/>
    </row>
    <row r="6" spans="1:15" s="399" customFormat="1">
      <c r="A6" s="1357" t="s">
        <v>807</v>
      </c>
      <c r="B6" s="93"/>
      <c r="C6" s="240"/>
      <c r="D6" s="94"/>
      <c r="E6" s="95"/>
      <c r="F6" s="96"/>
      <c r="G6" s="96"/>
      <c r="I6" s="93"/>
      <c r="J6" s="97"/>
      <c r="L6" s="400"/>
    </row>
    <row r="7" spans="1:15" s="401" customFormat="1" ht="53.1" customHeight="1">
      <c r="A7" s="1522"/>
      <c r="B7" s="1530"/>
      <c r="C7" s="501" t="s">
        <v>86</v>
      </c>
      <c r="D7" s="502" t="s">
        <v>142</v>
      </c>
      <c r="E7" s="502" t="s">
        <v>176</v>
      </c>
      <c r="F7" s="502" t="s">
        <v>177</v>
      </c>
      <c r="G7" s="502" t="s">
        <v>457</v>
      </c>
      <c r="I7" s="93"/>
    </row>
    <row r="8" spans="1:15">
      <c r="A8" s="1526" t="s">
        <v>626</v>
      </c>
      <c r="B8" s="1527"/>
      <c r="C8" s="516"/>
      <c r="D8" s="516"/>
      <c r="E8" s="503" t="s">
        <v>216</v>
      </c>
      <c r="F8" s="503" t="s">
        <v>216</v>
      </c>
      <c r="G8" s="504"/>
      <c r="H8" s="1526" t="s">
        <v>626</v>
      </c>
      <c r="I8" s="1527"/>
    </row>
    <row r="9" spans="1:15">
      <c r="A9" s="1528" t="s">
        <v>87</v>
      </c>
      <c r="B9" s="1529"/>
      <c r="C9" s="647" t="e">
        <f>G9/$E$1</f>
        <v>#DIV/0!</v>
      </c>
      <c r="D9" s="647" t="e">
        <f>G9/$E$2</f>
        <v>#DIV/0!</v>
      </c>
      <c r="E9" s="646"/>
      <c r="F9" s="646"/>
      <c r="G9" s="646"/>
      <c r="H9" s="1528" t="s">
        <v>87</v>
      </c>
      <c r="I9" s="1529"/>
    </row>
    <row r="10" spans="1:15">
      <c r="A10" s="1528" t="s">
        <v>409</v>
      </c>
      <c r="B10" s="1529"/>
      <c r="C10" s="647" t="e">
        <f>G10/$E$1</f>
        <v>#DIV/0!</v>
      </c>
      <c r="D10" s="647" t="e">
        <f>G10/$E$2</f>
        <v>#DIV/0!</v>
      </c>
      <c r="E10" s="646"/>
      <c r="F10" s="646"/>
      <c r="G10" s="646"/>
      <c r="H10" s="1528" t="s">
        <v>409</v>
      </c>
      <c r="I10" s="1529"/>
    </row>
    <row r="11" spans="1:15" s="404" customFormat="1">
      <c r="A11" s="1528" t="s">
        <v>415</v>
      </c>
      <c r="B11" s="1529"/>
      <c r="C11" s="647" t="e">
        <f>G11/$E$1</f>
        <v>#DIV/0!</v>
      </c>
      <c r="D11" s="647" t="e">
        <f>G11/$E$2</f>
        <v>#DIV/0!</v>
      </c>
      <c r="E11" s="646"/>
      <c r="F11" s="646"/>
      <c r="G11" s="646"/>
      <c r="H11" s="1528" t="s">
        <v>415</v>
      </c>
      <c r="I11" s="1529"/>
      <c r="J11" s="403"/>
      <c r="L11" s="405"/>
    </row>
    <row r="12" spans="1:15">
      <c r="A12" s="506" t="s">
        <v>736</v>
      </c>
      <c r="B12" s="515"/>
      <c r="C12" s="647" t="e">
        <f>G12/$E$1</f>
        <v>#DIV/0!</v>
      </c>
      <c r="D12" s="647" t="e">
        <f>G12/$E$2</f>
        <v>#DIV/0!</v>
      </c>
      <c r="E12" s="646"/>
      <c r="F12" s="646"/>
      <c r="G12" s="646"/>
      <c r="H12" s="1524" t="s">
        <v>736</v>
      </c>
      <c r="I12" s="1535"/>
    </row>
    <row r="13" spans="1:15">
      <c r="A13" s="1540" t="s">
        <v>625</v>
      </c>
      <c r="B13" s="1541"/>
      <c r="C13" s="518" t="e">
        <f>SUM(C9:C12)</f>
        <v>#DIV/0!</v>
      </c>
      <c r="D13" s="1241" t="e">
        <f>SUM(D9:D12)</f>
        <v>#DIV/0!</v>
      </c>
      <c r="E13" s="507"/>
      <c r="F13" s="507"/>
      <c r="G13" s="508">
        <f>SUM(G9:G12)</f>
        <v>0</v>
      </c>
      <c r="H13" s="1514"/>
      <c r="I13" s="1515"/>
      <c r="N13" s="404"/>
      <c r="O13" s="404"/>
    </row>
    <row r="14" spans="1:15">
      <c r="A14" s="1526" t="s">
        <v>88</v>
      </c>
      <c r="B14" s="1527"/>
      <c r="C14" s="647"/>
      <c r="D14" s="647"/>
      <c r="E14" s="503"/>
      <c r="F14" s="503"/>
      <c r="G14" s="509"/>
      <c r="H14" s="1526" t="s">
        <v>88</v>
      </c>
      <c r="I14" s="1527"/>
    </row>
    <row r="15" spans="1:15">
      <c r="A15" s="1528" t="s">
        <v>681</v>
      </c>
      <c r="B15" s="1529"/>
      <c r="C15" s="647" t="e">
        <f t="shared" ref="C15:C22" si="0">G15/$E$1</f>
        <v>#DIV/0!</v>
      </c>
      <c r="D15" s="647" t="e">
        <f t="shared" ref="D15:D22" si="1">G15/$E$2</f>
        <v>#DIV/0!</v>
      </c>
      <c r="E15" s="646"/>
      <c r="F15" s="646"/>
      <c r="G15" s="646"/>
      <c r="H15" s="1528" t="s">
        <v>681</v>
      </c>
      <c r="I15" s="1529"/>
    </row>
    <row r="16" spans="1:15">
      <c r="A16" s="1528" t="s">
        <v>410</v>
      </c>
      <c r="B16" s="1529"/>
      <c r="C16" s="647" t="e">
        <f t="shared" si="0"/>
        <v>#DIV/0!</v>
      </c>
      <c r="D16" s="647" t="e">
        <f t="shared" si="1"/>
        <v>#DIV/0!</v>
      </c>
      <c r="E16" s="646"/>
      <c r="F16" s="646"/>
      <c r="G16" s="646"/>
      <c r="H16" s="1528" t="s">
        <v>410</v>
      </c>
      <c r="I16" s="1529"/>
    </row>
    <row r="17" spans="1:15">
      <c r="A17" s="1522" t="s">
        <v>173</v>
      </c>
      <c r="B17" s="1530"/>
      <c r="C17" s="647" t="e">
        <f>G17/$E$1</f>
        <v>#DIV/0!</v>
      </c>
      <c r="D17" s="647" t="e">
        <f>G17/$E$2</f>
        <v>#DIV/0!</v>
      </c>
      <c r="E17" s="646"/>
      <c r="F17" s="646"/>
      <c r="G17" s="646"/>
      <c r="H17" s="1522" t="s">
        <v>173</v>
      </c>
      <c r="I17" s="1530"/>
    </row>
    <row r="18" spans="1:15" s="404" customFormat="1" ht="15.75" customHeight="1">
      <c r="A18" s="1522" t="s">
        <v>170</v>
      </c>
      <c r="B18" s="1530"/>
      <c r="C18" s="647" t="e">
        <f>G18/$E$1</f>
        <v>#DIV/0!</v>
      </c>
      <c r="D18" s="647" t="e">
        <f>G18/$E$2</f>
        <v>#DIV/0!</v>
      </c>
      <c r="E18" s="646"/>
      <c r="F18" s="646"/>
      <c r="G18" s="646"/>
      <c r="H18" s="1522" t="s">
        <v>170</v>
      </c>
      <c r="I18" s="1530"/>
      <c r="J18" s="403"/>
      <c r="L18" s="405"/>
    </row>
    <row r="19" spans="1:15" s="406" customFormat="1" ht="15.75" customHeight="1">
      <c r="A19" s="1528" t="s">
        <v>613</v>
      </c>
      <c r="B19" s="1529"/>
      <c r="C19" s="647" t="e">
        <f>G19/$E$1</f>
        <v>#DIV/0!</v>
      </c>
      <c r="D19" s="647" t="e">
        <f>G19/$E$2</f>
        <v>#DIV/0!</v>
      </c>
      <c r="E19" s="646"/>
      <c r="F19" s="646"/>
      <c r="G19" s="646"/>
      <c r="H19" s="1528" t="s">
        <v>613</v>
      </c>
      <c r="I19" s="1529"/>
      <c r="J19" s="402"/>
      <c r="L19" s="407"/>
    </row>
    <row r="20" spans="1:15" ht="15.75" customHeight="1">
      <c r="A20" s="1528" t="s">
        <v>412</v>
      </c>
      <c r="B20" s="1529"/>
      <c r="C20" s="647" t="e">
        <f>G20/$E$1</f>
        <v>#DIV/0!</v>
      </c>
      <c r="D20" s="647" t="e">
        <f>G20/$E$2</f>
        <v>#DIV/0!</v>
      </c>
      <c r="E20" s="646"/>
      <c r="F20" s="646"/>
      <c r="G20" s="646"/>
      <c r="H20" s="1528" t="s">
        <v>412</v>
      </c>
      <c r="I20" s="1529"/>
    </row>
    <row r="21" spans="1:15" ht="15.75" customHeight="1">
      <c r="A21" s="1528" t="s">
        <v>411</v>
      </c>
      <c r="B21" s="1529"/>
      <c r="C21" s="647" t="e">
        <f t="shared" si="0"/>
        <v>#DIV/0!</v>
      </c>
      <c r="D21" s="647" t="e">
        <f t="shared" si="1"/>
        <v>#DIV/0!</v>
      </c>
      <c r="E21" s="646"/>
      <c r="F21" s="646"/>
      <c r="G21" s="646"/>
      <c r="H21" s="1528" t="s">
        <v>411</v>
      </c>
      <c r="I21" s="1529"/>
    </row>
    <row r="22" spans="1:15">
      <c r="A22" s="506" t="s">
        <v>414</v>
      </c>
      <c r="B22" s="515"/>
      <c r="C22" s="647" t="e">
        <f t="shared" si="0"/>
        <v>#DIV/0!</v>
      </c>
      <c r="D22" s="647" t="e">
        <f t="shared" si="1"/>
        <v>#DIV/0!</v>
      </c>
      <c r="E22" s="646"/>
      <c r="F22" s="646"/>
      <c r="G22" s="646"/>
      <c r="H22" s="1524" t="s">
        <v>736</v>
      </c>
      <c r="I22" s="1535"/>
    </row>
    <row r="23" spans="1:15">
      <c r="A23" s="1540" t="s">
        <v>624</v>
      </c>
      <c r="B23" s="1541"/>
      <c r="C23" s="518" t="e">
        <f>SUM(C15:C22)</f>
        <v>#DIV/0!</v>
      </c>
      <c r="D23" s="1241" t="e">
        <f>SUM(D15:D22)</f>
        <v>#DIV/0!</v>
      </c>
      <c r="E23" s="510"/>
      <c r="F23" s="510"/>
      <c r="G23" s="511">
        <f>SUM(G15:G22)</f>
        <v>0</v>
      </c>
      <c r="H23" s="1419">
        <f>G23+G25</f>
        <v>0</v>
      </c>
      <c r="I23" s="1420"/>
    </row>
    <row r="24" spans="1:15">
      <c r="A24" s="1522"/>
      <c r="B24" s="1545"/>
      <c r="C24" s="1181"/>
      <c r="D24" s="1181"/>
      <c r="E24" s="1182"/>
      <c r="F24" s="1182"/>
      <c r="G24" s="1183"/>
      <c r="H24" s="1514"/>
      <c r="I24" s="1515"/>
    </row>
    <row r="25" spans="1:15" ht="15.6" customHeight="1">
      <c r="A25" s="1321" t="s">
        <v>157</v>
      </c>
      <c r="B25" s="1322" t="e">
        <f>G25/' Project Debt &amp; NOI'!E21</f>
        <v>#DIV/0!</v>
      </c>
      <c r="C25" s="518" t="e">
        <f>G25/$E$1</f>
        <v>#DIV/0!</v>
      </c>
      <c r="D25" s="1241" t="e">
        <f>G25/$E$2</f>
        <v>#DIV/0!</v>
      </c>
      <c r="E25" s="700"/>
      <c r="F25" s="700"/>
      <c r="G25" s="700"/>
      <c r="H25" s="1360" t="e">
        <f>G25/' Project Debt &amp; NOI'!E21</f>
        <v>#DIV/0!</v>
      </c>
      <c r="I25" s="1345" t="s">
        <v>157</v>
      </c>
      <c r="O25" s="404"/>
    </row>
    <row r="26" spans="1:15" ht="15.6" customHeight="1">
      <c r="A26" s="1179"/>
      <c r="B26" s="1195"/>
      <c r="C26" s="1180"/>
      <c r="D26" s="1180"/>
      <c r="E26" s="1196"/>
      <c r="F26" s="1196"/>
      <c r="G26" s="1197"/>
      <c r="H26" s="1516"/>
      <c r="I26" s="1517"/>
      <c r="O26" s="404"/>
    </row>
    <row r="27" spans="1:15">
      <c r="A27" s="1526" t="s">
        <v>11</v>
      </c>
      <c r="B27" s="1527"/>
      <c r="C27" s="647"/>
      <c r="D27" s="647"/>
      <c r="E27" s="680"/>
      <c r="F27" s="680"/>
      <c r="G27" s="680"/>
      <c r="H27" s="1518"/>
      <c r="I27" s="1519"/>
    </row>
    <row r="28" spans="1:15" ht="15.75" customHeight="1">
      <c r="A28" s="679" t="s">
        <v>741</v>
      </c>
      <c r="B28" s="696"/>
      <c r="C28" s="647" t="e">
        <f>G28/$E$1</f>
        <v>#DIV/0!</v>
      </c>
      <c r="D28" s="647" t="e">
        <f>G28/$E$2</f>
        <v>#DIV/0!</v>
      </c>
      <c r="E28" s="646"/>
      <c r="F28" s="646"/>
      <c r="G28" s="646"/>
      <c r="H28" s="1528" t="s">
        <v>764</v>
      </c>
      <c r="I28" s="1529"/>
    </row>
    <row r="29" spans="1:15">
      <c r="A29" s="1528" t="s">
        <v>159</v>
      </c>
      <c r="B29" s="1529"/>
      <c r="C29" s="647" t="e">
        <f>G29/$E$1</f>
        <v>#DIV/0!</v>
      </c>
      <c r="D29" s="647" t="e">
        <f>G29/$E$2</f>
        <v>#DIV/0!</v>
      </c>
      <c r="E29" s="646"/>
      <c r="F29" s="646"/>
      <c r="G29" s="646"/>
      <c r="H29" s="1528" t="s">
        <v>159</v>
      </c>
      <c r="I29" s="1529"/>
    </row>
    <row r="30" spans="1:15">
      <c r="A30" s="1528" t="s">
        <v>102</v>
      </c>
      <c r="B30" s="1529"/>
      <c r="C30" s="647" t="e">
        <f>G30/$E$1</f>
        <v>#DIV/0!</v>
      </c>
      <c r="D30" s="647" t="e">
        <f>G30/$E$2</f>
        <v>#DIV/0!</v>
      </c>
      <c r="E30" s="646"/>
      <c r="F30" s="646"/>
      <c r="G30" s="646"/>
      <c r="H30" s="1528" t="s">
        <v>102</v>
      </c>
      <c r="I30" s="1529"/>
    </row>
    <row r="31" spans="1:15">
      <c r="A31" s="506" t="s">
        <v>414</v>
      </c>
      <c r="B31" s="696"/>
      <c r="C31" s="647" t="e">
        <f>G31/$E$1</f>
        <v>#DIV/0!</v>
      </c>
      <c r="D31" s="647" t="e">
        <f>G31/$E$2</f>
        <v>#DIV/0!</v>
      </c>
      <c r="E31" s="646"/>
      <c r="F31" s="646"/>
      <c r="G31" s="646"/>
      <c r="H31" s="1524" t="s">
        <v>736</v>
      </c>
      <c r="I31" s="1535"/>
    </row>
    <row r="32" spans="1:15">
      <c r="A32" s="1540" t="s">
        <v>623</v>
      </c>
      <c r="B32" s="1541"/>
      <c r="C32" s="518" t="e">
        <f>SUM(C28:C31)</f>
        <v>#DIV/0!</v>
      </c>
      <c r="D32" s="1241" t="e">
        <f>SUM(D28:D31)</f>
        <v>#DIV/0!</v>
      </c>
      <c r="E32" s="510"/>
      <c r="F32" s="510"/>
      <c r="G32" s="511">
        <f>SUM(G28:G31)</f>
        <v>0</v>
      </c>
      <c r="H32" s="1514"/>
      <c r="I32" s="1515"/>
    </row>
    <row r="33" spans="1:13">
      <c r="A33" s="1546" t="s">
        <v>89</v>
      </c>
      <c r="B33" s="1547"/>
      <c r="C33" s="1177"/>
      <c r="D33" s="1177"/>
      <c r="E33" s="1178"/>
      <c r="F33" s="1178"/>
      <c r="G33" s="1178"/>
      <c r="H33" s="1548" t="s">
        <v>89</v>
      </c>
      <c r="I33" s="1549"/>
    </row>
    <row r="34" spans="1:13">
      <c r="A34" s="1522" t="s">
        <v>154</v>
      </c>
      <c r="B34" s="1523"/>
      <c r="C34" s="647" t="e">
        <f>G34/$E$1</f>
        <v>#DIV/0!</v>
      </c>
      <c r="D34" s="647" t="e">
        <f>G34/$E$2</f>
        <v>#DIV/0!</v>
      </c>
      <c r="E34" s="646"/>
      <c r="F34" s="646"/>
      <c r="G34" s="646"/>
      <c r="H34" s="1522" t="s">
        <v>154</v>
      </c>
      <c r="I34" s="1523"/>
    </row>
    <row r="35" spans="1:13">
      <c r="A35" s="1522" t="s">
        <v>217</v>
      </c>
      <c r="B35" s="1523"/>
      <c r="C35" s="647" t="e">
        <f>G35/$E$1</f>
        <v>#DIV/0!</v>
      </c>
      <c r="D35" s="647" t="e">
        <f>G35/$E$2</f>
        <v>#DIV/0!</v>
      </c>
      <c r="E35" s="646"/>
      <c r="F35" s="646"/>
      <c r="G35" s="646"/>
      <c r="H35" s="1522" t="s">
        <v>217</v>
      </c>
      <c r="I35" s="1523"/>
    </row>
    <row r="36" spans="1:13">
      <c r="A36" s="1522" t="s">
        <v>413</v>
      </c>
      <c r="B36" s="1523"/>
      <c r="C36" s="647" t="e">
        <f>G36/$E$1</f>
        <v>#DIV/0!</v>
      </c>
      <c r="D36" s="647" t="e">
        <f>G36/$E$2</f>
        <v>#DIV/0!</v>
      </c>
      <c r="E36" s="646"/>
      <c r="F36" s="646"/>
      <c r="G36" s="646"/>
      <c r="H36" s="1522" t="s">
        <v>413</v>
      </c>
      <c r="I36" s="1523"/>
    </row>
    <row r="37" spans="1:13">
      <c r="A37" s="1522" t="s">
        <v>169</v>
      </c>
      <c r="B37" s="1523"/>
      <c r="C37" s="647" t="e">
        <f>G37/$E$1</f>
        <v>#DIV/0!</v>
      </c>
      <c r="D37" s="647" t="e">
        <f>G37/$E$2</f>
        <v>#DIV/0!</v>
      </c>
      <c r="E37" s="646"/>
      <c r="F37" s="646"/>
      <c r="G37" s="646"/>
      <c r="H37" s="1522" t="s">
        <v>169</v>
      </c>
      <c r="I37" s="1523"/>
    </row>
    <row r="38" spans="1:13">
      <c r="A38" s="1522" t="s">
        <v>215</v>
      </c>
      <c r="B38" s="1523"/>
      <c r="C38" s="522" t="s">
        <v>155</v>
      </c>
      <c r="D38" s="523" t="s">
        <v>161</v>
      </c>
      <c r="E38" s="509"/>
      <c r="F38" s="509"/>
      <c r="H38" s="1520" t="s">
        <v>215</v>
      </c>
      <c r="I38" s="1521"/>
    </row>
    <row r="39" spans="1:13">
      <c r="A39" s="1533" t="s">
        <v>388</v>
      </c>
      <c r="B39" s="1534"/>
      <c r="C39" s="505"/>
      <c r="D39" s="1412"/>
      <c r="E39" s="646"/>
      <c r="F39" s="646"/>
      <c r="G39" s="647">
        <f>C39*D39</f>
        <v>0</v>
      </c>
      <c r="H39" s="1522" t="s">
        <v>388</v>
      </c>
      <c r="I39" s="1523"/>
    </row>
    <row r="40" spans="1:13">
      <c r="A40" s="1533" t="s">
        <v>389</v>
      </c>
      <c r="B40" s="1534"/>
      <c r="C40" s="505"/>
      <c r="D40" s="1412"/>
      <c r="E40" s="646"/>
      <c r="F40" s="646"/>
      <c r="G40" s="647">
        <f>C40*D40</f>
        <v>0</v>
      </c>
      <c r="H40" s="1522" t="s">
        <v>389</v>
      </c>
      <c r="I40" s="1523"/>
    </row>
    <row r="41" spans="1:13">
      <c r="A41" s="1417"/>
      <c r="B41" s="1418" t="s">
        <v>820</v>
      </c>
      <c r="C41" s="647" t="e">
        <f>G41/$E$1</f>
        <v>#DIV/0!</v>
      </c>
      <c r="D41" s="647" t="e">
        <f>G41/$E$2</f>
        <v>#DIV/0!</v>
      </c>
      <c r="E41" s="509"/>
      <c r="F41" s="509"/>
      <c r="G41" s="680">
        <f>SUM(G39:G40)</f>
        <v>0</v>
      </c>
      <c r="H41" s="1531" t="s">
        <v>820</v>
      </c>
      <c r="I41" s="1532"/>
    </row>
    <row r="42" spans="1:13" ht="15.6" customHeight="1">
      <c r="A42" s="1417"/>
      <c r="B42" s="1417"/>
      <c r="C42" s="522" t="s">
        <v>185</v>
      </c>
      <c r="D42" s="523" t="s">
        <v>161</v>
      </c>
      <c r="E42" s="680"/>
      <c r="F42" s="680"/>
      <c r="G42" s="1417"/>
      <c r="H42" s="1514"/>
      <c r="I42" s="1515"/>
    </row>
    <row r="43" spans="1:13">
      <c r="A43" s="1533" t="s">
        <v>160</v>
      </c>
      <c r="B43" s="1534"/>
      <c r="C43" s="505"/>
      <c r="D43" s="1213"/>
      <c r="E43" s="646"/>
      <c r="F43" s="646"/>
      <c r="G43" s="680">
        <f>C43*D43</f>
        <v>0</v>
      </c>
      <c r="H43" s="1524" t="s">
        <v>160</v>
      </c>
      <c r="I43" s="1525"/>
      <c r="M43" s="408"/>
    </row>
    <row r="44" spans="1:13">
      <c r="A44" s="1522"/>
      <c r="B44" s="1530"/>
      <c r="C44" s="647" t="e">
        <f>G43/$E$1</f>
        <v>#DIV/0!</v>
      </c>
      <c r="D44" s="647" t="e">
        <f>G43/$E$2</f>
        <v>#DIV/0!</v>
      </c>
      <c r="E44" s="1417"/>
      <c r="F44" s="1417"/>
      <c r="G44" s="1417"/>
      <c r="H44" s="1514"/>
      <c r="I44" s="1515"/>
      <c r="M44" s="408"/>
    </row>
    <row r="45" spans="1:13">
      <c r="A45" s="506" t="s">
        <v>414</v>
      </c>
      <c r="B45" s="515"/>
      <c r="C45" s="521" t="e">
        <f>G45/$E$1</f>
        <v>#DIV/0!</v>
      </c>
      <c r="D45" s="647" t="e">
        <f>G45/$E$2</f>
        <v>#DIV/0!</v>
      </c>
      <c r="E45" s="646"/>
      <c r="F45" s="646"/>
      <c r="G45" s="646"/>
      <c r="H45" s="1524" t="s">
        <v>736</v>
      </c>
      <c r="I45" s="1535"/>
    </row>
    <row r="46" spans="1:13" s="395" customFormat="1">
      <c r="A46" s="1540" t="s">
        <v>622</v>
      </c>
      <c r="B46" s="1541"/>
      <c r="C46" s="524" t="e">
        <f>C34+C35+C36+C37+C41+C44+C45</f>
        <v>#DIV/0!</v>
      </c>
      <c r="D46" s="1330" t="e">
        <f>D34+D35+D36+D37+D41+D44+D45</f>
        <v>#DIV/0!</v>
      </c>
      <c r="E46" s="510"/>
      <c r="F46" s="510"/>
      <c r="G46" s="511">
        <f>SUM(G34:G37)+G41+G43+G45</f>
        <v>0</v>
      </c>
      <c r="H46" s="1536" t="s">
        <v>765</v>
      </c>
      <c r="I46" s="1537"/>
      <c r="M46" s="409"/>
    </row>
    <row r="47" spans="1:13" s="395" customFormat="1">
      <c r="A47" s="1184"/>
      <c r="B47" s="1185"/>
      <c r="C47" s="1186"/>
      <c r="D47" s="1186"/>
      <c r="E47" s="1187"/>
      <c r="F47" s="1187"/>
      <c r="G47" s="1188"/>
      <c r="H47" s="401"/>
      <c r="I47" s="93"/>
      <c r="M47" s="409"/>
    </row>
    <row r="48" spans="1:13">
      <c r="A48" s="1184"/>
      <c r="B48" s="1185"/>
      <c r="C48" s="1189"/>
      <c r="D48" s="1189"/>
      <c r="E48" s="1187"/>
      <c r="F48" s="1187"/>
      <c r="G48" s="1188"/>
      <c r="H48" s="401"/>
      <c r="I48" s="93"/>
    </row>
    <row r="49" spans="1:23">
      <c r="A49" s="1522"/>
      <c r="B49" s="1542"/>
      <c r="C49" s="1181"/>
      <c r="D49" s="1181"/>
      <c r="E49" s="1190"/>
      <c r="F49" s="1190"/>
      <c r="G49" s="1191"/>
      <c r="H49" s="401"/>
      <c r="I49" s="93"/>
    </row>
    <row r="50" spans="1:23" ht="15.6" customHeight="1">
      <c r="A50" s="1526" t="s">
        <v>90</v>
      </c>
      <c r="B50" s="1527"/>
      <c r="C50" s="520" t="e">
        <f>C13+C23+C25+C32+C46</f>
        <v>#DIV/0!</v>
      </c>
      <c r="D50" s="517" t="e">
        <f>D13+D23+D25+D32+D46</f>
        <v>#DIV/0!</v>
      </c>
      <c r="E50" s="646"/>
      <c r="F50" s="646"/>
      <c r="G50" s="513">
        <f>G13+G23+G25+G32+G46</f>
        <v>0</v>
      </c>
      <c r="H50" s="1526" t="s">
        <v>90</v>
      </c>
      <c r="I50" s="1527"/>
      <c r="M50" s="408"/>
    </row>
    <row r="51" spans="1:23">
      <c r="A51" s="1528" t="s">
        <v>158</v>
      </c>
      <c r="B51" s="1529"/>
      <c r="C51" s="525" t="e">
        <f>C50-C25</f>
        <v>#DIV/0!</v>
      </c>
      <c r="D51" s="517" t="e">
        <f>D50-D25</f>
        <v>#DIV/0!</v>
      </c>
      <c r="E51" s="646"/>
      <c r="F51" s="646"/>
      <c r="G51" s="512">
        <f>G50-G25</f>
        <v>0</v>
      </c>
      <c r="H51" s="1528" t="s">
        <v>766</v>
      </c>
      <c r="I51" s="1529"/>
      <c r="M51" s="408"/>
    </row>
    <row r="52" spans="1:23">
      <c r="A52" s="1522"/>
      <c r="B52" s="1542"/>
      <c r="C52" s="1192"/>
      <c r="D52" s="1192"/>
      <c r="E52" s="1187"/>
      <c r="F52" s="1187"/>
      <c r="G52" s="1193"/>
      <c r="H52" s="1514"/>
      <c r="I52" s="1515"/>
      <c r="M52" s="408"/>
    </row>
    <row r="53" spans="1:23">
      <c r="A53" s="1526" t="s">
        <v>91</v>
      </c>
      <c r="B53" s="1527"/>
      <c r="C53" s="519"/>
      <c r="D53" s="519"/>
      <c r="E53" s="509"/>
      <c r="F53" s="509"/>
      <c r="G53" s="509"/>
      <c r="H53" s="1526" t="s">
        <v>91</v>
      </c>
      <c r="I53" s="1527"/>
    </row>
    <row r="54" spans="1:23">
      <c r="A54" s="1528" t="s">
        <v>485</v>
      </c>
      <c r="B54" s="1529"/>
      <c r="C54" s="517" t="e">
        <f>G54/$E$1</f>
        <v>#DIV/0!</v>
      </c>
      <c r="D54" s="517" t="e">
        <f>G54/$E$2</f>
        <v>#DIV/0!</v>
      </c>
      <c r="E54" s="646"/>
      <c r="F54" s="646"/>
      <c r="G54" s="646"/>
      <c r="H54" s="1528" t="s">
        <v>485</v>
      </c>
      <c r="I54" s="1529"/>
      <c r="L54" s="99"/>
    </row>
    <row r="55" spans="1:23">
      <c r="A55" s="1528" t="s">
        <v>605</v>
      </c>
      <c r="B55" s="1529"/>
      <c r="C55" s="517" t="e">
        <f>G55/$E$1</f>
        <v>#DIV/0!</v>
      </c>
      <c r="D55" s="517" t="e">
        <f>G55/$E$2</f>
        <v>#DIV/0!</v>
      </c>
      <c r="E55" s="646"/>
      <c r="F55" s="646"/>
      <c r="G55" s="646"/>
      <c r="H55" s="1528" t="s">
        <v>605</v>
      </c>
      <c r="I55" s="1529"/>
    </row>
    <row r="56" spans="1:23">
      <c r="A56" s="1540" t="s">
        <v>184</v>
      </c>
      <c r="B56" s="1541"/>
      <c r="C56" s="518" t="e">
        <f>SUM(C54:C55)</f>
        <v>#DIV/0!</v>
      </c>
      <c r="D56" s="1241" t="e">
        <f>SUM(D54:D55)</f>
        <v>#DIV/0!</v>
      </c>
      <c r="E56" s="510"/>
      <c r="F56" s="510"/>
      <c r="G56" s="514">
        <f>G54+G55</f>
        <v>0</v>
      </c>
      <c r="H56" s="1536" t="s">
        <v>184</v>
      </c>
      <c r="I56" s="1537"/>
    </row>
    <row r="57" spans="1:23">
      <c r="A57" s="1522"/>
      <c r="B57" s="1542"/>
      <c r="C57" s="1192"/>
      <c r="D57" s="1192"/>
      <c r="E57" s="1187"/>
      <c r="F57" s="1187"/>
      <c r="G57" s="1194"/>
      <c r="H57" s="1522"/>
      <c r="I57" s="1542"/>
    </row>
    <row r="58" spans="1:23">
      <c r="A58" s="1543" t="s">
        <v>93</v>
      </c>
      <c r="B58" s="1544"/>
      <c r="C58" s="520" t="e">
        <f>C50+C56</f>
        <v>#DIV/0!</v>
      </c>
      <c r="D58" s="1241" t="e">
        <f>D50+D56</f>
        <v>#DIV/0!</v>
      </c>
      <c r="E58" s="509"/>
      <c r="F58" s="509"/>
      <c r="G58" s="513">
        <f>G50+G56</f>
        <v>0</v>
      </c>
      <c r="H58" s="1554" t="s">
        <v>767</v>
      </c>
      <c r="I58" s="1555"/>
      <c r="M58" s="98"/>
      <c r="N58" s="98"/>
      <c r="O58" s="98"/>
      <c r="P58" s="98"/>
      <c r="Q58" s="98"/>
      <c r="R58" s="98"/>
      <c r="S58" s="98"/>
      <c r="T58" s="98"/>
      <c r="U58" s="98"/>
      <c r="V58" s="98"/>
      <c r="W58" s="98"/>
    </row>
    <row r="59" spans="1:23" s="397" customFormat="1">
      <c r="A59" s="644"/>
      <c r="B59" s="98"/>
      <c r="C59" s="394"/>
      <c r="D59" s="394"/>
      <c r="E59" s="93"/>
      <c r="F59" s="93"/>
      <c r="G59" s="93"/>
      <c r="H59" s="97"/>
      <c r="I59" s="93"/>
      <c r="J59" s="93"/>
      <c r="M59" s="98"/>
      <c r="N59" s="98"/>
      <c r="O59" s="98"/>
      <c r="P59" s="98"/>
      <c r="Q59" s="98"/>
      <c r="R59" s="98"/>
      <c r="S59" s="98"/>
      <c r="T59" s="98"/>
      <c r="U59" s="98"/>
      <c r="V59" s="98"/>
      <c r="W59" s="98"/>
    </row>
    <row r="60" spans="1:23">
      <c r="A60" s="98"/>
      <c r="B60" s="98"/>
      <c r="E60" s="93"/>
      <c r="F60" s="93"/>
      <c r="G60" s="93"/>
      <c r="H60" s="93"/>
      <c r="I60" s="93"/>
      <c r="J60" s="93"/>
    </row>
    <row r="61" spans="1:23">
      <c r="B61" s="397"/>
      <c r="C61" s="410" t="s">
        <v>614</v>
      </c>
      <c r="D61" s="299"/>
      <c r="E61" s="299"/>
      <c r="F61" s="93"/>
      <c r="G61" s="93"/>
      <c r="H61" s="93"/>
      <c r="J61" s="396"/>
      <c r="L61" s="396"/>
    </row>
    <row r="62" spans="1:23">
      <c r="B62" s="397"/>
      <c r="C62" s="13"/>
      <c r="D62" s="299"/>
      <c r="E62" s="299"/>
      <c r="F62" s="93"/>
      <c r="G62" s="93"/>
      <c r="H62" s="93"/>
      <c r="J62" s="396"/>
      <c r="L62" s="396"/>
    </row>
    <row r="63" spans="1:23">
      <c r="B63" s="397"/>
      <c r="C63" s="1367" t="s">
        <v>608</v>
      </c>
      <c r="D63" s="1362"/>
      <c r="E63" s="1366" t="s">
        <v>607</v>
      </c>
      <c r="F63" s="1364"/>
      <c r="G63" s="1365"/>
      <c r="H63" s="93"/>
      <c r="J63" s="396"/>
      <c r="L63" s="396"/>
    </row>
    <row r="64" spans="1:23" ht="102" customHeight="1">
      <c r="B64" s="1270" t="s">
        <v>609</v>
      </c>
      <c r="C64" s="1271" t="s">
        <v>615</v>
      </c>
      <c r="D64" s="1272"/>
      <c r="E64" s="1550" t="s">
        <v>777</v>
      </c>
      <c r="F64" s="1551"/>
      <c r="G64" s="1552"/>
      <c r="H64" s="93"/>
      <c r="J64" s="396"/>
      <c r="L64" s="396"/>
    </row>
    <row r="65" spans="1:12">
      <c r="B65" s="397"/>
      <c r="C65" s="1269"/>
      <c r="D65" s="497"/>
      <c r="E65" s="497"/>
      <c r="F65" s="498"/>
      <c r="G65" s="498"/>
      <c r="H65" s="93"/>
      <c r="J65" s="396"/>
      <c r="L65" s="396"/>
    </row>
    <row r="66" spans="1:12">
      <c r="B66" s="397"/>
      <c r="C66" s="1269"/>
      <c r="D66" s="497"/>
      <c r="E66" s="497"/>
      <c r="F66" s="498"/>
      <c r="G66" s="498"/>
      <c r="H66" s="93"/>
      <c r="J66" s="396"/>
      <c r="L66" s="396"/>
    </row>
    <row r="67" spans="1:12" ht="74.45" customHeight="1">
      <c r="B67" s="1270" t="s">
        <v>610</v>
      </c>
      <c r="C67" s="1550" t="s">
        <v>778</v>
      </c>
      <c r="D67" s="1553"/>
      <c r="E67" s="1550" t="s">
        <v>616</v>
      </c>
      <c r="F67" s="1551"/>
      <c r="G67" s="1552"/>
      <c r="H67" s="93"/>
      <c r="J67" s="396"/>
      <c r="L67" s="396"/>
    </row>
    <row r="68" spans="1:12">
      <c r="B68" s="397"/>
      <c r="C68" s="13"/>
      <c r="D68" s="299"/>
      <c r="E68" s="299"/>
      <c r="F68" s="93"/>
      <c r="G68" s="93"/>
      <c r="H68" s="93"/>
      <c r="J68" s="396"/>
      <c r="L68" s="396"/>
    </row>
    <row r="69" spans="1:12">
      <c r="B69" s="93" t="s">
        <v>704</v>
      </c>
      <c r="D69" s="93"/>
      <c r="E69" s="93"/>
      <c r="F69" s="93"/>
      <c r="G69" s="93"/>
      <c r="H69" s="93"/>
      <c r="J69" s="396"/>
      <c r="L69" s="396"/>
    </row>
    <row r="70" spans="1:12">
      <c r="B70" s="92" t="s">
        <v>707</v>
      </c>
      <c r="D70" s="93"/>
      <c r="E70" s="93"/>
      <c r="F70" s="93"/>
      <c r="G70" s="93"/>
      <c r="H70" s="93"/>
      <c r="J70" s="396"/>
      <c r="L70" s="396"/>
    </row>
    <row r="71" spans="1:12">
      <c r="B71" s="369" t="s">
        <v>705</v>
      </c>
      <c r="D71" s="93"/>
      <c r="E71" s="93"/>
      <c r="F71" s="93"/>
      <c r="G71" s="93"/>
      <c r="H71" s="93"/>
      <c r="J71" s="396"/>
      <c r="L71" s="396"/>
    </row>
    <row r="72" spans="1:12">
      <c r="B72" s="368" t="s">
        <v>779</v>
      </c>
      <c r="D72" s="93"/>
      <c r="E72" s="93"/>
      <c r="F72" s="93"/>
      <c r="G72" s="93"/>
      <c r="H72" s="93"/>
      <c r="J72" s="396"/>
      <c r="L72" s="396"/>
    </row>
    <row r="73" spans="1:12">
      <c r="B73" s="368" t="s">
        <v>706</v>
      </c>
      <c r="D73" s="93"/>
      <c r="E73" s="93"/>
      <c r="F73" s="93"/>
      <c r="G73" s="93"/>
      <c r="H73" s="93"/>
      <c r="J73" s="396"/>
      <c r="L73" s="396"/>
    </row>
    <row r="74" spans="1:12">
      <c r="B74" s="92" t="s">
        <v>708</v>
      </c>
      <c r="D74" s="93"/>
      <c r="E74" s="93"/>
      <c r="F74" s="93"/>
      <c r="G74" s="93"/>
      <c r="H74" s="93"/>
      <c r="J74" s="396"/>
      <c r="L74" s="396"/>
    </row>
    <row r="75" spans="1:12">
      <c r="B75" s="368" t="s">
        <v>709</v>
      </c>
      <c r="D75" s="93"/>
      <c r="E75" s="93"/>
      <c r="F75" s="93"/>
      <c r="G75" s="93"/>
      <c r="H75" s="93"/>
      <c r="J75" s="396"/>
      <c r="L75" s="396"/>
    </row>
    <row r="76" spans="1:12">
      <c r="A76" s="93"/>
      <c r="B76" s="93"/>
      <c r="C76" s="93"/>
      <c r="D76" s="93"/>
      <c r="E76" s="93"/>
      <c r="F76" s="93"/>
      <c r="G76" s="93"/>
      <c r="H76" s="93"/>
      <c r="I76" s="93"/>
    </row>
    <row r="77" spans="1:12">
      <c r="A77" s="93"/>
      <c r="B77" s="93"/>
      <c r="C77" s="93"/>
      <c r="D77" s="93"/>
      <c r="E77" s="93"/>
      <c r="F77" s="93"/>
      <c r="G77" s="93"/>
      <c r="H77" s="93"/>
      <c r="I77" s="93"/>
    </row>
    <row r="78" spans="1:12">
      <c r="A78" s="93"/>
      <c r="B78" s="93"/>
      <c r="C78" s="93"/>
      <c r="D78" s="93"/>
      <c r="E78" s="93"/>
      <c r="F78" s="93"/>
      <c r="G78" s="93"/>
      <c r="H78" s="93"/>
      <c r="I78" s="93"/>
    </row>
    <row r="79" spans="1:12">
      <c r="A79" s="93"/>
      <c r="B79" s="93"/>
      <c r="C79" s="93"/>
      <c r="D79" s="93"/>
      <c r="E79" s="93"/>
      <c r="F79" s="93"/>
      <c r="G79" s="93"/>
      <c r="H79" s="93"/>
      <c r="I79" s="93"/>
    </row>
    <row r="80" spans="1:12">
      <c r="A80" s="93"/>
      <c r="B80" s="93"/>
      <c r="C80" s="93"/>
      <c r="D80" s="93"/>
      <c r="E80" s="93"/>
      <c r="F80" s="93"/>
      <c r="G80" s="93"/>
      <c r="H80" s="93"/>
      <c r="I80" s="93"/>
    </row>
    <row r="81" spans="1:9">
      <c r="A81" s="93"/>
      <c r="B81" s="93"/>
      <c r="C81" s="93"/>
      <c r="D81" s="93"/>
      <c r="E81" s="93"/>
      <c r="F81" s="93"/>
      <c r="G81" s="93"/>
      <c r="H81" s="93"/>
      <c r="I81" s="93"/>
    </row>
    <row r="82" spans="1:9">
      <c r="A82" s="93"/>
      <c r="B82" s="93"/>
      <c r="C82" s="93"/>
      <c r="D82" s="93"/>
      <c r="E82" s="93"/>
      <c r="F82" s="93"/>
      <c r="G82" s="93"/>
      <c r="H82" s="93"/>
      <c r="I82" s="93"/>
    </row>
    <row r="83" spans="1:9">
      <c r="A83" s="93"/>
      <c r="B83" s="93"/>
      <c r="C83" s="93"/>
      <c r="D83" s="93"/>
      <c r="E83" s="93"/>
      <c r="F83" s="93"/>
      <c r="G83" s="93"/>
      <c r="H83" s="93"/>
      <c r="I83" s="93"/>
    </row>
    <row r="84" spans="1:9">
      <c r="A84" s="93"/>
      <c r="B84" s="93"/>
      <c r="C84" s="93"/>
      <c r="D84" s="93"/>
      <c r="E84" s="93"/>
      <c r="F84" s="93"/>
      <c r="G84" s="93"/>
      <c r="H84" s="93"/>
      <c r="I84" s="93"/>
    </row>
    <row r="85" spans="1:9">
      <c r="A85" s="93"/>
      <c r="B85" s="93"/>
      <c r="C85" s="93"/>
      <c r="D85" s="93"/>
      <c r="E85" s="93"/>
      <c r="F85" s="93"/>
      <c r="G85" s="93"/>
      <c r="H85" s="93"/>
      <c r="I85" s="93"/>
    </row>
    <row r="86" spans="1:9">
      <c r="A86" s="93"/>
      <c r="B86" s="93"/>
      <c r="C86" s="93"/>
      <c r="D86" s="93"/>
      <c r="E86" s="93"/>
      <c r="F86" s="93"/>
      <c r="G86" s="93"/>
      <c r="H86" s="93"/>
      <c r="I86" s="93"/>
    </row>
    <row r="87" spans="1:9">
      <c r="A87" s="93"/>
      <c r="B87" s="93"/>
      <c r="C87" s="93"/>
      <c r="D87" s="93"/>
      <c r="E87" s="93"/>
      <c r="F87" s="93"/>
      <c r="G87" s="93"/>
      <c r="H87" s="93"/>
      <c r="I87" s="93"/>
    </row>
    <row r="88" spans="1:9">
      <c r="A88" s="93"/>
      <c r="B88" s="93"/>
      <c r="C88" s="93"/>
      <c r="D88" s="93"/>
      <c r="E88" s="93"/>
      <c r="F88" s="93"/>
      <c r="G88" s="93"/>
      <c r="H88" s="93"/>
      <c r="I88" s="93"/>
    </row>
    <row r="89" spans="1:9">
      <c r="A89" s="93"/>
      <c r="B89" s="93"/>
      <c r="C89" s="93"/>
      <c r="D89" s="93"/>
      <c r="E89" s="93"/>
      <c r="F89" s="93"/>
      <c r="G89" s="93"/>
      <c r="H89" s="93"/>
      <c r="I89" s="93"/>
    </row>
    <row r="90" spans="1:9">
      <c r="A90" s="93"/>
      <c r="B90" s="93"/>
      <c r="C90" s="93"/>
      <c r="D90" s="93"/>
      <c r="E90" s="93"/>
      <c r="F90" s="93"/>
      <c r="G90" s="93"/>
      <c r="H90" s="93"/>
      <c r="I90" s="93"/>
    </row>
    <row r="91" spans="1:9">
      <c r="A91" s="93"/>
      <c r="B91" s="93"/>
      <c r="C91" s="93"/>
      <c r="D91" s="93"/>
      <c r="E91" s="93"/>
      <c r="F91" s="93"/>
      <c r="G91" s="93"/>
      <c r="H91" s="93"/>
      <c r="I91" s="93"/>
    </row>
    <row r="92" spans="1:9">
      <c r="A92" s="93"/>
      <c r="B92" s="93"/>
      <c r="C92" s="93"/>
      <c r="D92" s="93"/>
      <c r="E92" s="93"/>
      <c r="F92" s="93"/>
      <c r="G92" s="93"/>
      <c r="H92" s="93"/>
      <c r="I92" s="93"/>
    </row>
    <row r="93" spans="1:9">
      <c r="A93" s="93"/>
      <c r="B93" s="93"/>
      <c r="C93" s="93"/>
      <c r="D93" s="93"/>
      <c r="E93" s="93"/>
      <c r="F93" s="93"/>
      <c r="G93" s="93"/>
      <c r="H93" s="93"/>
      <c r="I93" s="93"/>
    </row>
    <row r="94" spans="1:9">
      <c r="A94" s="93"/>
      <c r="B94" s="93"/>
      <c r="C94" s="93"/>
      <c r="D94" s="93"/>
      <c r="E94" s="93"/>
      <c r="F94" s="93"/>
      <c r="G94" s="93"/>
      <c r="H94" s="93"/>
      <c r="I94" s="93"/>
    </row>
    <row r="95" spans="1:9">
      <c r="A95" s="93"/>
      <c r="B95" s="93"/>
      <c r="C95" s="93"/>
      <c r="D95" s="93"/>
      <c r="E95" s="93"/>
      <c r="F95" s="93"/>
      <c r="G95" s="93"/>
      <c r="H95" s="93"/>
      <c r="I95" s="93"/>
    </row>
    <row r="96" spans="1:9">
      <c r="A96" s="93"/>
      <c r="B96" s="93"/>
      <c r="C96" s="93"/>
      <c r="D96" s="93"/>
      <c r="E96" s="93"/>
      <c r="F96" s="93"/>
      <c r="G96" s="93"/>
      <c r="H96" s="93"/>
      <c r="I96" s="93"/>
    </row>
    <row r="97" spans="1:9">
      <c r="A97" s="93"/>
      <c r="B97" s="93"/>
      <c r="C97" s="93"/>
      <c r="D97" s="93"/>
      <c r="E97" s="93"/>
      <c r="F97" s="93"/>
      <c r="G97" s="93"/>
      <c r="H97" s="93"/>
      <c r="I97" s="93"/>
    </row>
    <row r="98" spans="1:9">
      <c r="A98" s="93"/>
      <c r="B98" s="93"/>
      <c r="C98" s="93"/>
      <c r="D98" s="93"/>
      <c r="E98" s="93"/>
      <c r="F98" s="93"/>
      <c r="G98" s="93"/>
      <c r="H98" s="93"/>
      <c r="I98" s="93"/>
    </row>
    <row r="99" spans="1:9">
      <c r="A99" s="93"/>
      <c r="B99" s="93"/>
      <c r="C99" s="93"/>
      <c r="D99" s="93"/>
      <c r="E99" s="93"/>
      <c r="F99" s="93"/>
      <c r="G99" s="93"/>
      <c r="H99" s="93"/>
      <c r="I99" s="93"/>
    </row>
    <row r="100" spans="1:9">
      <c r="A100" s="93"/>
      <c r="B100" s="93"/>
      <c r="C100" s="93"/>
      <c r="D100" s="93"/>
      <c r="E100" s="93"/>
      <c r="F100" s="93"/>
      <c r="G100" s="93"/>
      <c r="H100" s="93"/>
      <c r="I100" s="93"/>
    </row>
    <row r="101" spans="1:9">
      <c r="A101" s="93"/>
      <c r="B101" s="93"/>
      <c r="C101" s="93"/>
      <c r="D101" s="93"/>
      <c r="E101" s="93"/>
      <c r="F101" s="93"/>
      <c r="G101" s="93"/>
      <c r="H101" s="93"/>
      <c r="I101" s="93"/>
    </row>
    <row r="102" spans="1:9">
      <c r="A102" s="93"/>
      <c r="B102" s="93"/>
      <c r="C102" s="93"/>
      <c r="D102" s="93"/>
      <c r="E102" s="93"/>
      <c r="F102" s="93"/>
      <c r="G102" s="93"/>
      <c r="H102" s="93"/>
      <c r="I102" s="93"/>
    </row>
    <row r="103" spans="1:9">
      <c r="A103" s="93"/>
      <c r="B103" s="93"/>
      <c r="C103" s="93"/>
      <c r="D103" s="93"/>
      <c r="E103" s="93"/>
      <c r="F103" s="93"/>
      <c r="G103" s="93"/>
      <c r="H103" s="93"/>
      <c r="I103" s="93"/>
    </row>
    <row r="104" spans="1:9">
      <c r="A104" s="93"/>
      <c r="B104" s="93"/>
      <c r="C104" s="93"/>
      <c r="D104" s="93"/>
      <c r="E104" s="93"/>
      <c r="F104" s="93"/>
      <c r="G104" s="93"/>
      <c r="H104" s="93"/>
      <c r="I104" s="93"/>
    </row>
    <row r="105" spans="1:9">
      <c r="A105" s="93"/>
      <c r="B105" s="93"/>
      <c r="C105" s="93"/>
      <c r="D105" s="93"/>
      <c r="E105" s="93"/>
      <c r="F105" s="93"/>
      <c r="G105" s="93"/>
      <c r="H105" s="93"/>
      <c r="I105" s="93"/>
    </row>
    <row r="106" spans="1:9">
      <c r="A106" s="93"/>
      <c r="B106" s="93"/>
      <c r="C106" s="93"/>
      <c r="D106" s="93"/>
      <c r="E106" s="93"/>
      <c r="F106" s="93"/>
      <c r="G106" s="93"/>
      <c r="H106" s="93"/>
      <c r="I106" s="93"/>
    </row>
    <row r="107" spans="1:9">
      <c r="A107" s="93"/>
      <c r="B107" s="93"/>
      <c r="C107" s="93"/>
      <c r="D107" s="93"/>
      <c r="E107" s="93"/>
      <c r="F107" s="93"/>
      <c r="G107" s="93"/>
      <c r="H107" s="93"/>
      <c r="I107" s="93"/>
    </row>
    <row r="108" spans="1:9">
      <c r="A108" s="93"/>
      <c r="B108" s="93"/>
      <c r="C108" s="93"/>
      <c r="D108" s="93"/>
      <c r="E108" s="93"/>
      <c r="F108" s="93"/>
      <c r="G108" s="93"/>
      <c r="H108" s="93"/>
      <c r="I108" s="93"/>
    </row>
    <row r="109" spans="1:9">
      <c r="A109" s="93"/>
      <c r="B109" s="93"/>
      <c r="C109" s="93"/>
      <c r="D109" s="93"/>
      <c r="E109" s="93"/>
      <c r="F109" s="93"/>
      <c r="G109" s="93"/>
      <c r="H109" s="93"/>
      <c r="I109" s="93"/>
    </row>
    <row r="110" spans="1:9">
      <c r="A110" s="93"/>
      <c r="B110" s="93"/>
      <c r="C110" s="93"/>
      <c r="D110" s="93"/>
      <c r="E110" s="93"/>
      <c r="F110" s="93"/>
      <c r="G110" s="93"/>
      <c r="H110" s="93"/>
      <c r="I110" s="93"/>
    </row>
    <row r="111" spans="1:9">
      <c r="A111" s="93"/>
      <c r="B111" s="93"/>
      <c r="C111" s="93"/>
      <c r="D111" s="93"/>
      <c r="E111" s="93"/>
      <c r="F111" s="93"/>
      <c r="G111" s="93"/>
      <c r="H111" s="93"/>
      <c r="I111" s="93"/>
    </row>
    <row r="112" spans="1:9">
      <c r="A112" s="93"/>
      <c r="B112" s="93"/>
      <c r="C112" s="93"/>
      <c r="D112" s="93"/>
      <c r="E112" s="93"/>
      <c r="F112" s="93"/>
      <c r="G112" s="93"/>
      <c r="H112" s="93"/>
      <c r="I112" s="93"/>
    </row>
    <row r="113" spans="1:9">
      <c r="A113" s="93"/>
      <c r="B113" s="93"/>
      <c r="C113" s="93"/>
      <c r="D113" s="93"/>
      <c r="E113" s="93"/>
      <c r="F113" s="93"/>
      <c r="G113" s="93"/>
      <c r="H113" s="93"/>
      <c r="I113" s="93"/>
    </row>
  </sheetData>
  <sheetProtection algorithmName="SHA-512" hashValue="gSTqeWKrM7U2kBbbnUS4gLhd+mxEc+bckhE6+5z08FOTj7+zFqQKOGBCU+nrk5FVCSmb4074MB2uV+GK6AMALQ==" saltValue="J8hB2eaTLe2zwHUgEJELQg==" spinCount="100000" sheet="1" objects="1" scenarios="1"/>
  <mergeCells count="91">
    <mergeCell ref="E64:G64"/>
    <mergeCell ref="E67:G67"/>
    <mergeCell ref="C67:D67"/>
    <mergeCell ref="H56:I56"/>
    <mergeCell ref="H57:I57"/>
    <mergeCell ref="H58:I58"/>
    <mergeCell ref="H33:I33"/>
    <mergeCell ref="H34:I34"/>
    <mergeCell ref="H35:I35"/>
    <mergeCell ref="H36:I36"/>
    <mergeCell ref="H37:I37"/>
    <mergeCell ref="H19:I19"/>
    <mergeCell ref="H20:I20"/>
    <mergeCell ref="H21:I21"/>
    <mergeCell ref="H22:I22"/>
    <mergeCell ref="H31:I31"/>
    <mergeCell ref="H28:I28"/>
    <mergeCell ref="H29:I29"/>
    <mergeCell ref="H30:I30"/>
    <mergeCell ref="H8:I8"/>
    <mergeCell ref="H9:I9"/>
    <mergeCell ref="H10:I10"/>
    <mergeCell ref="H11:I11"/>
    <mergeCell ref="H12:I12"/>
    <mergeCell ref="A23:B23"/>
    <mergeCell ref="A24:B24"/>
    <mergeCell ref="A17:B17"/>
    <mergeCell ref="A37:B37"/>
    <mergeCell ref="A49:B49"/>
    <mergeCell ref="A29:B29"/>
    <mergeCell ref="A30:B30"/>
    <mergeCell ref="A32:B32"/>
    <mergeCell ref="A33:B33"/>
    <mergeCell ref="A38:B38"/>
    <mergeCell ref="A7:B7"/>
    <mergeCell ref="A8:B8"/>
    <mergeCell ref="A9:B9"/>
    <mergeCell ref="A10:B10"/>
    <mergeCell ref="A11:B11"/>
    <mergeCell ref="A14:B14"/>
    <mergeCell ref="A15:B15"/>
    <mergeCell ref="A16:B16"/>
    <mergeCell ref="A21:B21"/>
    <mergeCell ref="A19:B19"/>
    <mergeCell ref="A18:B18"/>
    <mergeCell ref="A20:B20"/>
    <mergeCell ref="B1:C1"/>
    <mergeCell ref="A56:B56"/>
    <mergeCell ref="A57:B57"/>
    <mergeCell ref="A58:B58"/>
    <mergeCell ref="A51:B51"/>
    <mergeCell ref="A52:B52"/>
    <mergeCell ref="A53:B53"/>
    <mergeCell ref="A54:B54"/>
    <mergeCell ref="A55:B55"/>
    <mergeCell ref="A44:B44"/>
    <mergeCell ref="A46:B46"/>
    <mergeCell ref="A13:B13"/>
    <mergeCell ref="A27:B27"/>
    <mergeCell ref="A34:B34"/>
    <mergeCell ref="A35:B35"/>
    <mergeCell ref="A36:B36"/>
    <mergeCell ref="A50:B50"/>
    <mergeCell ref="A39:B39"/>
    <mergeCell ref="A40:B40"/>
    <mergeCell ref="A43:B43"/>
    <mergeCell ref="H45:I45"/>
    <mergeCell ref="H46:I46"/>
    <mergeCell ref="H50:I50"/>
    <mergeCell ref="H55:I55"/>
    <mergeCell ref="H51:I51"/>
    <mergeCell ref="H53:I53"/>
    <mergeCell ref="H54:I54"/>
    <mergeCell ref="H41:I41"/>
    <mergeCell ref="H52:I52"/>
    <mergeCell ref="H32:I32"/>
    <mergeCell ref="H42:I42"/>
    <mergeCell ref="H44:I44"/>
    <mergeCell ref="H13:I13"/>
    <mergeCell ref="H24:I24"/>
    <mergeCell ref="H26:I26"/>
    <mergeCell ref="H27:I27"/>
    <mergeCell ref="H38:I38"/>
    <mergeCell ref="H39:I39"/>
    <mergeCell ref="H40:I40"/>
    <mergeCell ref="H43:I43"/>
    <mergeCell ref="H14:I14"/>
    <mergeCell ref="H15:I15"/>
    <mergeCell ref="H16:I16"/>
    <mergeCell ref="H17:I17"/>
    <mergeCell ref="H18:I18"/>
  </mergeCells>
  <dataValidations count="3">
    <dataValidation allowBlank="1" showInputMessage="1" showErrorMessage="1" promptTitle="Operating Reserve Contribution" prompt="See directions below spreadsheet." sqref="A54:B54 H54:I54" xr:uid="{D9A98415-19AE-4A8E-AFEB-FED19BA5CE8A}"/>
    <dataValidation allowBlank="1" showInputMessage="1" showErrorMessage="1" promptTitle="Replacement Reserve Contribution" prompt="See directions below spreadsheet." sqref="A55:B55 H55:I55" xr:uid="{1E147D21-289D-4EF6-A8A7-29022E587B42}"/>
    <dataValidation allowBlank="1" showInputMessage="1" showErrorMessage="1" promptTitle="HCR Tax credit monitoring fee" prompt="See instruction below for calcuating the fee." sqref="A21:B21 H21:I21" xr:uid="{4FFA01F0-D1BF-45DA-906D-A6EE0F231EED}"/>
  </dataValidations>
  <pageMargins left="0.7" right="0.7" top="0.75" bottom="0.75" header="0.3" footer="0.3"/>
  <pageSetup scale="67" fitToHeight="0"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pageSetUpPr fitToPage="1"/>
  </sheetPr>
  <dimension ref="A1:CI167"/>
  <sheetViews>
    <sheetView zoomScaleNormal="100" workbookViewId="0"/>
  </sheetViews>
  <sheetFormatPr defaultColWidth="8.88671875" defaultRowHeight="15"/>
  <cols>
    <col min="1" max="1" width="12.6640625" style="101" customWidth="1"/>
    <col min="2" max="2" width="12.77734375" style="101" customWidth="1"/>
    <col min="3" max="3" width="9.77734375" style="101" bestFit="1" customWidth="1"/>
    <col min="4" max="4" width="9.77734375" style="101" customWidth="1"/>
    <col min="5" max="6" width="9" style="103" customWidth="1"/>
    <col min="7" max="35" width="9" style="101" customWidth="1"/>
    <col min="36" max="36" width="37" style="102" bestFit="1" customWidth="1"/>
    <col min="37" max="38" width="8.88671875" style="101" customWidth="1"/>
    <col min="39" max="16384" width="8.88671875" style="101"/>
  </cols>
  <sheetData>
    <row r="1" spans="1:87" s="2" customFormat="1" ht="15.75">
      <c r="A1" s="90" t="str">
        <f>'Sources and Uses'!A2</f>
        <v>Project Name:</v>
      </c>
      <c r="B1" s="1556">
        <f>'Sources and Uses'!B2:C2</f>
        <v>0</v>
      </c>
      <c r="C1" s="1557"/>
      <c r="D1" s="1557"/>
      <c r="E1" s="1471"/>
      <c r="F1" s="86" t="str">
        <f>'Units &amp; Income'!E2</f>
        <v>Units:</v>
      </c>
      <c r="G1" s="908">
        <f>'Units &amp; Income'!F2</f>
        <v>0</v>
      </c>
      <c r="H1" s="1305"/>
      <c r="I1" s="91"/>
    </row>
    <row r="2" spans="1:87" s="2" customFormat="1" ht="15.75">
      <c r="A2" s="90" t="str">
        <f>'Sources and Uses'!A4</f>
        <v>Project County:</v>
      </c>
      <c r="B2" s="90">
        <f>'Sources and Uses'!B4</f>
        <v>0</v>
      </c>
      <c r="C2" s="90"/>
      <c r="H2" s="12"/>
      <c r="I2" s="91"/>
    </row>
    <row r="3" spans="1:87" s="2" customFormat="1" ht="15.75">
      <c r="A3" s="12"/>
      <c r="B3" s="12"/>
      <c r="H3" s="12"/>
      <c r="I3" s="91"/>
    </row>
    <row r="4" spans="1:87" s="2" customFormat="1" ht="15.75">
      <c r="A4" s="12" t="s">
        <v>808</v>
      </c>
      <c r="B4" s="12"/>
      <c r="H4" s="12"/>
      <c r="I4" s="91"/>
    </row>
    <row r="5" spans="1:87" s="104" customFormat="1" ht="17.25" customHeight="1">
      <c r="A5" s="900" t="s">
        <v>34</v>
      </c>
      <c r="B5" s="901" t="s">
        <v>34</v>
      </c>
      <c r="C5" s="899"/>
      <c r="D5" s="899" t="s">
        <v>99</v>
      </c>
      <c r="E5" s="1303" t="s">
        <v>22</v>
      </c>
      <c r="F5" s="1303" t="s">
        <v>23</v>
      </c>
      <c r="G5" s="1303" t="s">
        <v>24</v>
      </c>
      <c r="H5" s="1303" t="s">
        <v>25</v>
      </c>
      <c r="I5" s="1304" t="s">
        <v>26</v>
      </c>
      <c r="J5" s="1303" t="s">
        <v>27</v>
      </c>
      <c r="K5" s="1303" t="s">
        <v>28</v>
      </c>
      <c r="L5" s="1303" t="s">
        <v>29</v>
      </c>
      <c r="M5" s="1303" t="s">
        <v>30</v>
      </c>
      <c r="N5" s="1304" t="s">
        <v>31</v>
      </c>
      <c r="O5" s="1303" t="s">
        <v>35</v>
      </c>
      <c r="P5" s="1303" t="s">
        <v>36</v>
      </c>
      <c r="Q5" s="1303" t="s">
        <v>66</v>
      </c>
      <c r="R5" s="1303" t="s">
        <v>67</v>
      </c>
      <c r="S5" s="1303" t="s">
        <v>68</v>
      </c>
      <c r="T5" s="1302" t="s">
        <v>753</v>
      </c>
      <c r="U5" s="1303" t="s">
        <v>70</v>
      </c>
      <c r="V5" s="1303" t="s">
        <v>71</v>
      </c>
      <c r="W5" s="1303" t="s">
        <v>72</v>
      </c>
      <c r="X5" s="1303" t="s">
        <v>73</v>
      </c>
      <c r="Y5" s="1304" t="s">
        <v>74</v>
      </c>
      <c r="Z5" s="1303" t="s">
        <v>75</v>
      </c>
      <c r="AA5" s="1303" t="s">
        <v>76</v>
      </c>
      <c r="AB5" s="1303" t="s">
        <v>77</v>
      </c>
      <c r="AC5" s="1303" t="s">
        <v>78</v>
      </c>
      <c r="AD5" s="1303" t="s">
        <v>79</v>
      </c>
      <c r="AE5" s="1303" t="s">
        <v>80</v>
      </c>
      <c r="AF5" s="1303" t="s">
        <v>81</v>
      </c>
      <c r="AG5" s="1303" t="s">
        <v>82</v>
      </c>
      <c r="AH5" s="1303" t="s">
        <v>83</v>
      </c>
      <c r="AI5" s="1304" t="s">
        <v>84</v>
      </c>
      <c r="AJ5" s="913"/>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row>
    <row r="6" spans="1:87" ht="17.25" customHeight="1">
      <c r="A6" s="828" t="s">
        <v>69</v>
      </c>
      <c r="B6" s="105"/>
      <c r="C6" s="527"/>
      <c r="D6" s="904" t="s">
        <v>486</v>
      </c>
      <c r="E6" s="547"/>
      <c r="F6" s="106"/>
      <c r="G6" s="107" t="s">
        <v>34</v>
      </c>
      <c r="H6" s="108"/>
      <c r="I6" s="829"/>
      <c r="J6" s="108"/>
      <c r="K6" s="108"/>
      <c r="L6" s="108"/>
      <c r="M6" s="108"/>
      <c r="N6" s="829"/>
      <c r="O6" s="108"/>
      <c r="P6" s="108"/>
      <c r="Q6" s="108"/>
      <c r="R6" s="108"/>
      <c r="S6" s="108"/>
      <c r="T6" s="1274"/>
      <c r="U6" s="108"/>
      <c r="V6" s="108"/>
      <c r="W6" s="108"/>
      <c r="X6" s="108"/>
      <c r="Y6" s="829"/>
      <c r="Z6" s="108"/>
      <c r="AA6" s="108"/>
      <c r="AB6" s="108"/>
      <c r="AC6" s="108"/>
      <c r="AD6" s="108"/>
      <c r="AE6" s="108"/>
      <c r="AF6" s="108"/>
      <c r="AG6" s="108"/>
      <c r="AH6" s="108"/>
      <c r="AI6" s="829"/>
      <c r="AJ6" s="828" t="s">
        <v>69</v>
      </c>
      <c r="AK6" s="105"/>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row>
    <row r="7" spans="1:87" s="109" customFormat="1" ht="15.75">
      <c r="A7" s="830" t="str">
        <f>'Units &amp; Income'!$J$91</f>
        <v>Total Annual Rental Income</v>
      </c>
      <c r="B7" s="536"/>
      <c r="C7" s="528"/>
      <c r="D7" s="905">
        <v>0.02</v>
      </c>
      <c r="E7" s="648">
        <f>'Units &amp; Income'!K91</f>
        <v>0</v>
      </c>
      <c r="F7" s="110">
        <f t="shared" ref="F7:F12" si="0">E7+(E7*$D7)</f>
        <v>0</v>
      </c>
      <c r="G7" s="110">
        <f t="shared" ref="G7:AI8" si="1">F7+(F7*$D7)</f>
        <v>0</v>
      </c>
      <c r="H7" s="110">
        <f t="shared" si="1"/>
        <v>0</v>
      </c>
      <c r="I7" s="831">
        <f t="shared" si="1"/>
        <v>0</v>
      </c>
      <c r="J7" s="110">
        <f t="shared" si="1"/>
        <v>0</v>
      </c>
      <c r="K7" s="110">
        <f t="shared" si="1"/>
        <v>0</v>
      </c>
      <c r="L7" s="110">
        <f t="shared" si="1"/>
        <v>0</v>
      </c>
      <c r="M7" s="110">
        <f t="shared" si="1"/>
        <v>0</v>
      </c>
      <c r="N7" s="831">
        <f t="shared" si="1"/>
        <v>0</v>
      </c>
      <c r="O7" s="110">
        <f t="shared" si="1"/>
        <v>0</v>
      </c>
      <c r="P7" s="110">
        <f t="shared" si="1"/>
        <v>0</v>
      </c>
      <c r="Q7" s="110">
        <f t="shared" si="1"/>
        <v>0</v>
      </c>
      <c r="R7" s="110">
        <f t="shared" si="1"/>
        <v>0</v>
      </c>
      <c r="S7" s="110">
        <f t="shared" si="1"/>
        <v>0</v>
      </c>
      <c r="T7" s="1275"/>
      <c r="U7" s="110">
        <f t="shared" ref="U7:U12" si="2">S7+(S7*$D7)</f>
        <v>0</v>
      </c>
      <c r="V7" s="110">
        <f t="shared" si="1"/>
        <v>0</v>
      </c>
      <c r="W7" s="110">
        <f t="shared" si="1"/>
        <v>0</v>
      </c>
      <c r="X7" s="110">
        <f t="shared" si="1"/>
        <v>0</v>
      </c>
      <c r="Y7" s="831">
        <f t="shared" si="1"/>
        <v>0</v>
      </c>
      <c r="Z7" s="110">
        <f t="shared" si="1"/>
        <v>0</v>
      </c>
      <c r="AA7" s="110">
        <f t="shared" si="1"/>
        <v>0</v>
      </c>
      <c r="AB7" s="110">
        <f t="shared" si="1"/>
        <v>0</v>
      </c>
      <c r="AC7" s="110">
        <f t="shared" si="1"/>
        <v>0</v>
      </c>
      <c r="AD7" s="110">
        <f t="shared" si="1"/>
        <v>0</v>
      </c>
      <c r="AE7" s="110">
        <f t="shared" si="1"/>
        <v>0</v>
      </c>
      <c r="AF7" s="110">
        <f t="shared" si="1"/>
        <v>0</v>
      </c>
      <c r="AG7" s="110">
        <f t="shared" si="1"/>
        <v>0</v>
      </c>
      <c r="AH7" s="110">
        <f t="shared" si="1"/>
        <v>0</v>
      </c>
      <c r="AI7" s="831">
        <f t="shared" si="1"/>
        <v>0</v>
      </c>
      <c r="AJ7" s="830" t="str">
        <f>'Units &amp; Income'!$J$91</f>
        <v>Total Annual Rental Income</v>
      </c>
      <c r="AK7" s="536"/>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row>
    <row r="8" spans="1:87" s="109" customFormat="1" ht="15.75">
      <c r="A8" s="830" t="str">
        <f>'Units &amp; Income'!J92</f>
        <v>Residential Debt Service Subsidy</v>
      </c>
      <c r="B8" s="1447"/>
      <c r="C8" s="528"/>
      <c r="D8" s="905">
        <v>0</v>
      </c>
      <c r="E8" s="648">
        <f>'Units &amp; Income'!K92</f>
        <v>0</v>
      </c>
      <c r="F8" s="110">
        <f t="shared" si="0"/>
        <v>0</v>
      </c>
      <c r="G8" s="110">
        <f t="shared" si="1"/>
        <v>0</v>
      </c>
      <c r="H8" s="110">
        <f t="shared" si="1"/>
        <v>0</v>
      </c>
      <c r="I8" s="831">
        <f t="shared" si="1"/>
        <v>0</v>
      </c>
      <c r="J8" s="110">
        <f t="shared" si="1"/>
        <v>0</v>
      </c>
      <c r="K8" s="110">
        <f t="shared" si="1"/>
        <v>0</v>
      </c>
      <c r="L8" s="110">
        <f t="shared" si="1"/>
        <v>0</v>
      </c>
      <c r="M8" s="110">
        <f t="shared" si="1"/>
        <v>0</v>
      </c>
      <c r="N8" s="831">
        <f t="shared" si="1"/>
        <v>0</v>
      </c>
      <c r="O8" s="110">
        <f t="shared" si="1"/>
        <v>0</v>
      </c>
      <c r="P8" s="110">
        <f t="shared" si="1"/>
        <v>0</v>
      </c>
      <c r="Q8" s="110">
        <f t="shared" si="1"/>
        <v>0</v>
      </c>
      <c r="R8" s="110">
        <f t="shared" si="1"/>
        <v>0</v>
      </c>
      <c r="S8" s="110">
        <f t="shared" si="1"/>
        <v>0</v>
      </c>
      <c r="T8" s="1275"/>
      <c r="U8" s="110">
        <f t="shared" si="2"/>
        <v>0</v>
      </c>
      <c r="V8" s="110">
        <f t="shared" ref="V8:AI8" si="3">T8+(T8*$D8)</f>
        <v>0</v>
      </c>
      <c r="W8" s="110">
        <f t="shared" si="3"/>
        <v>0</v>
      </c>
      <c r="X8" s="110">
        <f t="shared" si="3"/>
        <v>0</v>
      </c>
      <c r="Y8" s="831">
        <f t="shared" si="3"/>
        <v>0</v>
      </c>
      <c r="Z8" s="110">
        <f t="shared" si="3"/>
        <v>0</v>
      </c>
      <c r="AA8" s="110">
        <f t="shared" si="3"/>
        <v>0</v>
      </c>
      <c r="AB8" s="110">
        <f t="shared" si="3"/>
        <v>0</v>
      </c>
      <c r="AC8" s="110">
        <f t="shared" si="3"/>
        <v>0</v>
      </c>
      <c r="AD8" s="110">
        <f t="shared" si="3"/>
        <v>0</v>
      </c>
      <c r="AE8" s="110">
        <f t="shared" si="3"/>
        <v>0</v>
      </c>
      <c r="AF8" s="110">
        <f t="shared" si="3"/>
        <v>0</v>
      </c>
      <c r="AG8" s="110">
        <f t="shared" si="3"/>
        <v>0</v>
      </c>
      <c r="AH8" s="110">
        <f t="shared" si="3"/>
        <v>0</v>
      </c>
      <c r="AI8" s="110">
        <f t="shared" si="3"/>
        <v>0</v>
      </c>
      <c r="AJ8" s="830" t="str">
        <f>'Units &amp; Income'!J92</f>
        <v>Residential Debt Service Subsidy</v>
      </c>
      <c r="AK8" s="536"/>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row>
    <row r="9" spans="1:87" s="109" customFormat="1" ht="15.75">
      <c r="A9" s="830" t="str">
        <f>'Units &amp; Income'!$A$30</f>
        <v>Parking</v>
      </c>
      <c r="B9" s="536"/>
      <c r="C9" s="528"/>
      <c r="D9" s="905">
        <v>0.02</v>
      </c>
      <c r="E9" s="648">
        <f>'Units &amp; Income'!E30</f>
        <v>0</v>
      </c>
      <c r="F9" s="110">
        <f t="shared" si="0"/>
        <v>0</v>
      </c>
      <c r="G9" s="110">
        <f t="shared" ref="G9:AI12" si="4">F9+(F9*$D9)</f>
        <v>0</v>
      </c>
      <c r="H9" s="110">
        <f t="shared" si="4"/>
        <v>0</v>
      </c>
      <c r="I9" s="831">
        <f t="shared" si="4"/>
        <v>0</v>
      </c>
      <c r="J9" s="110">
        <f t="shared" si="4"/>
        <v>0</v>
      </c>
      <c r="K9" s="110">
        <f t="shared" si="4"/>
        <v>0</v>
      </c>
      <c r="L9" s="110">
        <f t="shared" si="4"/>
        <v>0</v>
      </c>
      <c r="M9" s="110">
        <f t="shared" si="4"/>
        <v>0</v>
      </c>
      <c r="N9" s="831">
        <f t="shared" si="4"/>
        <v>0</v>
      </c>
      <c r="O9" s="110">
        <f t="shared" si="4"/>
        <v>0</v>
      </c>
      <c r="P9" s="110">
        <f t="shared" si="4"/>
        <v>0</v>
      </c>
      <c r="Q9" s="110">
        <f t="shared" si="4"/>
        <v>0</v>
      </c>
      <c r="R9" s="110">
        <f t="shared" si="4"/>
        <v>0</v>
      </c>
      <c r="S9" s="110">
        <f t="shared" si="4"/>
        <v>0</v>
      </c>
      <c r="T9" s="1275"/>
      <c r="U9" s="110">
        <f t="shared" si="2"/>
        <v>0</v>
      </c>
      <c r="V9" s="110">
        <f t="shared" si="4"/>
        <v>0</v>
      </c>
      <c r="W9" s="110">
        <f t="shared" si="4"/>
        <v>0</v>
      </c>
      <c r="X9" s="110">
        <f t="shared" si="4"/>
        <v>0</v>
      </c>
      <c r="Y9" s="831">
        <f t="shared" si="4"/>
        <v>0</v>
      </c>
      <c r="Z9" s="110">
        <f t="shared" si="4"/>
        <v>0</v>
      </c>
      <c r="AA9" s="110">
        <f t="shared" si="4"/>
        <v>0</v>
      </c>
      <c r="AB9" s="110">
        <f t="shared" si="4"/>
        <v>0</v>
      </c>
      <c r="AC9" s="110">
        <f t="shared" si="4"/>
        <v>0</v>
      </c>
      <c r="AD9" s="110">
        <f t="shared" si="4"/>
        <v>0</v>
      </c>
      <c r="AE9" s="110">
        <f t="shared" si="4"/>
        <v>0</v>
      </c>
      <c r="AF9" s="110">
        <f t="shared" si="4"/>
        <v>0</v>
      </c>
      <c r="AG9" s="110">
        <f t="shared" si="4"/>
        <v>0</v>
      </c>
      <c r="AH9" s="110">
        <f t="shared" si="4"/>
        <v>0</v>
      </c>
      <c r="AI9" s="831">
        <f t="shared" si="4"/>
        <v>0</v>
      </c>
      <c r="AJ9" s="830" t="str">
        <f>'Units &amp; Income'!$A$30</f>
        <v>Parking</v>
      </c>
      <c r="AK9" s="536"/>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row>
    <row r="10" spans="1:87" s="109" customFormat="1" ht="15.75">
      <c r="A10" s="830" t="str">
        <f>'Units &amp; Income'!$A$33</f>
        <v>CSF</v>
      </c>
      <c r="B10" s="536"/>
      <c r="C10" s="528"/>
      <c r="D10" s="905">
        <v>0.02</v>
      </c>
      <c r="E10" s="648">
        <f>'Units &amp; Income'!E33</f>
        <v>0</v>
      </c>
      <c r="F10" s="110">
        <f t="shared" si="0"/>
        <v>0</v>
      </c>
      <c r="G10" s="110">
        <f t="shared" si="4"/>
        <v>0</v>
      </c>
      <c r="H10" s="110">
        <f t="shared" si="4"/>
        <v>0</v>
      </c>
      <c r="I10" s="831">
        <f t="shared" si="4"/>
        <v>0</v>
      </c>
      <c r="J10" s="110">
        <f t="shared" si="4"/>
        <v>0</v>
      </c>
      <c r="K10" s="110">
        <f t="shared" si="4"/>
        <v>0</v>
      </c>
      <c r="L10" s="110">
        <f t="shared" si="4"/>
        <v>0</v>
      </c>
      <c r="M10" s="110">
        <f t="shared" si="4"/>
        <v>0</v>
      </c>
      <c r="N10" s="831">
        <f t="shared" si="4"/>
        <v>0</v>
      </c>
      <c r="O10" s="110">
        <f t="shared" si="4"/>
        <v>0</v>
      </c>
      <c r="P10" s="110">
        <f t="shared" si="4"/>
        <v>0</v>
      </c>
      <c r="Q10" s="110">
        <f t="shared" si="4"/>
        <v>0</v>
      </c>
      <c r="R10" s="110">
        <f t="shared" si="4"/>
        <v>0</v>
      </c>
      <c r="S10" s="110">
        <f t="shared" si="4"/>
        <v>0</v>
      </c>
      <c r="T10" s="1275"/>
      <c r="U10" s="110">
        <f t="shared" si="2"/>
        <v>0</v>
      </c>
      <c r="V10" s="110">
        <f t="shared" si="4"/>
        <v>0</v>
      </c>
      <c r="W10" s="110">
        <f t="shared" si="4"/>
        <v>0</v>
      </c>
      <c r="X10" s="110">
        <f t="shared" si="4"/>
        <v>0</v>
      </c>
      <c r="Y10" s="831">
        <f t="shared" si="4"/>
        <v>0</v>
      </c>
      <c r="Z10" s="110">
        <f t="shared" si="4"/>
        <v>0</v>
      </c>
      <c r="AA10" s="110">
        <f t="shared" si="4"/>
        <v>0</v>
      </c>
      <c r="AB10" s="110">
        <f t="shared" si="4"/>
        <v>0</v>
      </c>
      <c r="AC10" s="110">
        <f t="shared" si="4"/>
        <v>0</v>
      </c>
      <c r="AD10" s="110">
        <f t="shared" si="4"/>
        <v>0</v>
      </c>
      <c r="AE10" s="110">
        <f t="shared" si="4"/>
        <v>0</v>
      </c>
      <c r="AF10" s="110">
        <f t="shared" si="4"/>
        <v>0</v>
      </c>
      <c r="AG10" s="110">
        <f t="shared" si="4"/>
        <v>0</v>
      </c>
      <c r="AH10" s="110">
        <f t="shared" si="4"/>
        <v>0</v>
      </c>
      <c r="AI10" s="831">
        <f t="shared" si="4"/>
        <v>0</v>
      </c>
      <c r="AJ10" s="830" t="str">
        <f>'Units &amp; Income'!$A$33</f>
        <v>CSF</v>
      </c>
      <c r="AK10" s="536"/>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row>
    <row r="11" spans="1:87" s="109" customFormat="1" ht="17.25" customHeight="1">
      <c r="A11" s="830" t="str">
        <f>'Units &amp; Income'!$A$35</f>
        <v>Other Non-residential</v>
      </c>
      <c r="B11" s="536"/>
      <c r="C11" s="528"/>
      <c r="D11" s="905">
        <v>0.02</v>
      </c>
      <c r="E11" s="648">
        <f>'Units &amp; Income'!E35</f>
        <v>0</v>
      </c>
      <c r="F11" s="110">
        <f t="shared" si="0"/>
        <v>0</v>
      </c>
      <c r="G11" s="110">
        <f t="shared" si="4"/>
        <v>0</v>
      </c>
      <c r="H11" s="110">
        <f t="shared" si="4"/>
        <v>0</v>
      </c>
      <c r="I11" s="831">
        <f t="shared" si="4"/>
        <v>0</v>
      </c>
      <c r="J11" s="110">
        <f t="shared" si="4"/>
        <v>0</v>
      </c>
      <c r="K11" s="110">
        <f t="shared" si="4"/>
        <v>0</v>
      </c>
      <c r="L11" s="110">
        <f t="shared" si="4"/>
        <v>0</v>
      </c>
      <c r="M11" s="110">
        <f t="shared" si="4"/>
        <v>0</v>
      </c>
      <c r="N11" s="831">
        <f t="shared" si="4"/>
        <v>0</v>
      </c>
      <c r="O11" s="110">
        <f t="shared" si="4"/>
        <v>0</v>
      </c>
      <c r="P11" s="110">
        <f t="shared" si="4"/>
        <v>0</v>
      </c>
      <c r="Q11" s="110">
        <f t="shared" si="4"/>
        <v>0</v>
      </c>
      <c r="R11" s="110">
        <f t="shared" si="4"/>
        <v>0</v>
      </c>
      <c r="S11" s="110">
        <f t="shared" si="4"/>
        <v>0</v>
      </c>
      <c r="T11" s="1275"/>
      <c r="U11" s="110">
        <f t="shared" si="2"/>
        <v>0</v>
      </c>
      <c r="V11" s="110">
        <f t="shared" si="4"/>
        <v>0</v>
      </c>
      <c r="W11" s="110">
        <f t="shared" si="4"/>
        <v>0</v>
      </c>
      <c r="X11" s="110">
        <f t="shared" si="4"/>
        <v>0</v>
      </c>
      <c r="Y11" s="831">
        <f t="shared" si="4"/>
        <v>0</v>
      </c>
      <c r="Z11" s="110">
        <f t="shared" si="4"/>
        <v>0</v>
      </c>
      <c r="AA11" s="110">
        <f t="shared" si="4"/>
        <v>0</v>
      </c>
      <c r="AB11" s="110">
        <f t="shared" si="4"/>
        <v>0</v>
      </c>
      <c r="AC11" s="110">
        <f t="shared" si="4"/>
        <v>0</v>
      </c>
      <c r="AD11" s="110">
        <f t="shared" si="4"/>
        <v>0</v>
      </c>
      <c r="AE11" s="110">
        <f t="shared" si="4"/>
        <v>0</v>
      </c>
      <c r="AF11" s="110">
        <f t="shared" si="4"/>
        <v>0</v>
      </c>
      <c r="AG11" s="110">
        <f t="shared" si="4"/>
        <v>0</v>
      </c>
      <c r="AH11" s="110">
        <f t="shared" si="4"/>
        <v>0</v>
      </c>
      <c r="AI11" s="831">
        <f t="shared" si="4"/>
        <v>0</v>
      </c>
      <c r="AJ11" s="830" t="str">
        <f>'Units &amp; Income'!$A$35</f>
        <v>Other Non-residential</v>
      </c>
      <c r="AK11" s="536"/>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row>
    <row r="12" spans="1:87" s="109" customFormat="1" ht="15.75">
      <c r="A12" s="832" t="str">
        <f>'Units &amp; Income'!$A$38</f>
        <v>Laundry</v>
      </c>
      <c r="B12" s="537"/>
      <c r="C12" s="528"/>
      <c r="D12" s="905">
        <v>0.02</v>
      </c>
      <c r="E12" s="648">
        <f>'Units &amp; Income'!E38</f>
        <v>0</v>
      </c>
      <c r="F12" s="110">
        <f t="shared" si="0"/>
        <v>0</v>
      </c>
      <c r="G12" s="110">
        <f t="shared" si="4"/>
        <v>0</v>
      </c>
      <c r="H12" s="110">
        <f t="shared" si="4"/>
        <v>0</v>
      </c>
      <c r="I12" s="831">
        <f t="shared" si="4"/>
        <v>0</v>
      </c>
      <c r="J12" s="110">
        <f t="shared" si="4"/>
        <v>0</v>
      </c>
      <c r="K12" s="110">
        <f t="shared" si="4"/>
        <v>0</v>
      </c>
      <c r="L12" s="110">
        <f t="shared" si="4"/>
        <v>0</v>
      </c>
      <c r="M12" s="110">
        <f t="shared" si="4"/>
        <v>0</v>
      </c>
      <c r="N12" s="831">
        <f t="shared" si="4"/>
        <v>0</v>
      </c>
      <c r="O12" s="110">
        <f t="shared" si="4"/>
        <v>0</v>
      </c>
      <c r="P12" s="110">
        <f t="shared" si="4"/>
        <v>0</v>
      </c>
      <c r="Q12" s="110">
        <f t="shared" si="4"/>
        <v>0</v>
      </c>
      <c r="R12" s="110">
        <f t="shared" si="4"/>
        <v>0</v>
      </c>
      <c r="S12" s="110">
        <f t="shared" si="4"/>
        <v>0</v>
      </c>
      <c r="T12" s="1275"/>
      <c r="U12" s="110">
        <f t="shared" si="2"/>
        <v>0</v>
      </c>
      <c r="V12" s="110">
        <f t="shared" si="4"/>
        <v>0</v>
      </c>
      <c r="W12" s="110">
        <f t="shared" si="4"/>
        <v>0</v>
      </c>
      <c r="X12" s="110">
        <f t="shared" si="4"/>
        <v>0</v>
      </c>
      <c r="Y12" s="831">
        <f t="shared" si="4"/>
        <v>0</v>
      </c>
      <c r="Z12" s="110">
        <f t="shared" si="4"/>
        <v>0</v>
      </c>
      <c r="AA12" s="110">
        <f t="shared" si="4"/>
        <v>0</v>
      </c>
      <c r="AB12" s="110">
        <f t="shared" si="4"/>
        <v>0</v>
      </c>
      <c r="AC12" s="110">
        <f t="shared" si="4"/>
        <v>0</v>
      </c>
      <c r="AD12" s="110">
        <f t="shared" si="4"/>
        <v>0</v>
      </c>
      <c r="AE12" s="110">
        <f t="shared" si="4"/>
        <v>0</v>
      </c>
      <c r="AF12" s="110">
        <f t="shared" si="4"/>
        <v>0</v>
      </c>
      <c r="AG12" s="110">
        <f t="shared" si="4"/>
        <v>0</v>
      </c>
      <c r="AH12" s="110">
        <f t="shared" si="4"/>
        <v>0</v>
      </c>
      <c r="AI12" s="831">
        <f t="shared" si="4"/>
        <v>0</v>
      </c>
      <c r="AJ12" s="832" t="str">
        <f>'Units &amp; Income'!$A$38</f>
        <v>Laundry</v>
      </c>
      <c r="AK12" s="537"/>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row>
    <row r="13" spans="1:87" s="109" customFormat="1" ht="17.25" customHeight="1">
      <c r="A13" s="833" t="s">
        <v>128</v>
      </c>
      <c r="B13" s="538"/>
      <c r="C13" s="529"/>
      <c r="D13" s="822"/>
      <c r="E13" s="548">
        <f t="shared" ref="E13:AI13" si="5">SUM(E7:E12)</f>
        <v>0</v>
      </c>
      <c r="F13" s="548">
        <f t="shared" si="5"/>
        <v>0</v>
      </c>
      <c r="G13" s="548">
        <f t="shared" si="5"/>
        <v>0</v>
      </c>
      <c r="H13" s="548">
        <f t="shared" si="5"/>
        <v>0</v>
      </c>
      <c r="I13" s="834">
        <f t="shared" si="5"/>
        <v>0</v>
      </c>
      <c r="J13" s="548">
        <f t="shared" si="5"/>
        <v>0</v>
      </c>
      <c r="K13" s="548">
        <f t="shared" si="5"/>
        <v>0</v>
      </c>
      <c r="L13" s="548">
        <f t="shared" si="5"/>
        <v>0</v>
      </c>
      <c r="M13" s="548">
        <f t="shared" si="5"/>
        <v>0</v>
      </c>
      <c r="N13" s="834">
        <f t="shared" si="5"/>
        <v>0</v>
      </c>
      <c r="O13" s="548">
        <f t="shared" si="5"/>
        <v>0</v>
      </c>
      <c r="P13" s="548">
        <f t="shared" si="5"/>
        <v>0</v>
      </c>
      <c r="Q13" s="548">
        <f t="shared" si="5"/>
        <v>0</v>
      </c>
      <c r="R13" s="548">
        <f t="shared" si="5"/>
        <v>0</v>
      </c>
      <c r="S13" s="548">
        <f t="shared" si="5"/>
        <v>0</v>
      </c>
      <c r="T13" s="1276"/>
      <c r="U13" s="548">
        <f t="shared" si="5"/>
        <v>0</v>
      </c>
      <c r="V13" s="548">
        <f t="shared" si="5"/>
        <v>0</v>
      </c>
      <c r="W13" s="548">
        <f t="shared" si="5"/>
        <v>0</v>
      </c>
      <c r="X13" s="548">
        <f t="shared" si="5"/>
        <v>0</v>
      </c>
      <c r="Y13" s="834">
        <f t="shared" si="5"/>
        <v>0</v>
      </c>
      <c r="Z13" s="548">
        <f t="shared" si="5"/>
        <v>0</v>
      </c>
      <c r="AA13" s="548">
        <f t="shared" si="5"/>
        <v>0</v>
      </c>
      <c r="AB13" s="548">
        <f t="shared" si="5"/>
        <v>0</v>
      </c>
      <c r="AC13" s="548">
        <f t="shared" si="5"/>
        <v>0</v>
      </c>
      <c r="AD13" s="548">
        <f t="shared" si="5"/>
        <v>0</v>
      </c>
      <c r="AE13" s="548">
        <f t="shared" si="5"/>
        <v>0</v>
      </c>
      <c r="AF13" s="548">
        <f t="shared" si="5"/>
        <v>0</v>
      </c>
      <c r="AG13" s="548">
        <f t="shared" si="5"/>
        <v>0</v>
      </c>
      <c r="AH13" s="548">
        <f t="shared" si="5"/>
        <v>0</v>
      </c>
      <c r="AI13" s="834">
        <f t="shared" si="5"/>
        <v>0</v>
      </c>
      <c r="AJ13" s="833" t="s">
        <v>128</v>
      </c>
      <c r="AK13" s="538"/>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row>
    <row r="14" spans="1:87" s="109" customFormat="1" ht="17.25" customHeight="1">
      <c r="A14" s="828" t="s">
        <v>94</v>
      </c>
      <c r="B14" s="105"/>
      <c r="C14" s="528"/>
      <c r="D14" s="823"/>
      <c r="E14" s="110"/>
      <c r="F14" s="110"/>
      <c r="G14" s="111"/>
      <c r="H14" s="112"/>
      <c r="I14" s="835"/>
      <c r="J14" s="111"/>
      <c r="K14" s="111"/>
      <c r="L14" s="111"/>
      <c r="M14" s="111"/>
      <c r="N14" s="835"/>
      <c r="O14" s="111"/>
      <c r="P14" s="111"/>
      <c r="Q14" s="111"/>
      <c r="R14" s="111"/>
      <c r="S14" s="111"/>
      <c r="T14" s="1277"/>
      <c r="U14" s="111"/>
      <c r="V14" s="111"/>
      <c r="W14" s="111"/>
      <c r="X14" s="111"/>
      <c r="Y14" s="835"/>
      <c r="Z14" s="111"/>
      <c r="AA14" s="111"/>
      <c r="AB14" s="111"/>
      <c r="AC14" s="111"/>
      <c r="AD14" s="111"/>
      <c r="AE14" s="111"/>
      <c r="AF14" s="111"/>
      <c r="AG14" s="111"/>
      <c r="AH14" s="111"/>
      <c r="AI14" s="835"/>
      <c r="AJ14" s="828" t="s">
        <v>94</v>
      </c>
      <c r="AK14" s="105"/>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row>
    <row r="15" spans="1:87" s="109" customFormat="1" ht="15.75">
      <c r="A15" s="830" t="str">
        <f>'Units &amp; Income'!$J$91</f>
        <v>Total Annual Rental Income</v>
      </c>
      <c r="B15" s="536"/>
      <c r="C15" s="530"/>
      <c r="D15" s="906">
        <f>' Project Debt &amp; NOI'!D14</f>
        <v>0.05</v>
      </c>
      <c r="E15" s="110">
        <f>-SUM(E7*D15)</f>
        <v>0</v>
      </c>
      <c r="F15" s="110">
        <f t="shared" ref="F15:AI15" si="6">-SUM(F7*$D$15)</f>
        <v>0</v>
      </c>
      <c r="G15" s="110">
        <f t="shared" si="6"/>
        <v>0</v>
      </c>
      <c r="H15" s="110">
        <f t="shared" si="6"/>
        <v>0</v>
      </c>
      <c r="I15" s="831">
        <f t="shared" si="6"/>
        <v>0</v>
      </c>
      <c r="J15" s="110">
        <f t="shared" si="6"/>
        <v>0</v>
      </c>
      <c r="K15" s="110">
        <f t="shared" si="6"/>
        <v>0</v>
      </c>
      <c r="L15" s="110">
        <f t="shared" si="6"/>
        <v>0</v>
      </c>
      <c r="M15" s="110">
        <f t="shared" si="6"/>
        <v>0</v>
      </c>
      <c r="N15" s="831">
        <f t="shared" si="6"/>
        <v>0</v>
      </c>
      <c r="O15" s="110">
        <f t="shared" si="6"/>
        <v>0</v>
      </c>
      <c r="P15" s="110">
        <f t="shared" si="6"/>
        <v>0</v>
      </c>
      <c r="Q15" s="110">
        <f t="shared" si="6"/>
        <v>0</v>
      </c>
      <c r="R15" s="110">
        <f t="shared" si="6"/>
        <v>0</v>
      </c>
      <c r="S15" s="110">
        <f t="shared" si="6"/>
        <v>0</v>
      </c>
      <c r="T15" s="1275"/>
      <c r="U15" s="110">
        <f t="shared" si="6"/>
        <v>0</v>
      </c>
      <c r="V15" s="110">
        <f t="shared" si="6"/>
        <v>0</v>
      </c>
      <c r="W15" s="110">
        <f t="shared" si="6"/>
        <v>0</v>
      </c>
      <c r="X15" s="110">
        <f t="shared" si="6"/>
        <v>0</v>
      </c>
      <c r="Y15" s="831">
        <f t="shared" si="6"/>
        <v>0</v>
      </c>
      <c r="Z15" s="110">
        <f t="shared" si="6"/>
        <v>0</v>
      </c>
      <c r="AA15" s="110">
        <f t="shared" si="6"/>
        <v>0</v>
      </c>
      <c r="AB15" s="110">
        <f t="shared" si="6"/>
        <v>0</v>
      </c>
      <c r="AC15" s="110">
        <f t="shared" si="6"/>
        <v>0</v>
      </c>
      <c r="AD15" s="110">
        <f t="shared" si="6"/>
        <v>0</v>
      </c>
      <c r="AE15" s="110">
        <f t="shared" si="6"/>
        <v>0</v>
      </c>
      <c r="AF15" s="110">
        <f t="shared" si="6"/>
        <v>0</v>
      </c>
      <c r="AG15" s="110">
        <f t="shared" si="6"/>
        <v>0</v>
      </c>
      <c r="AH15" s="110">
        <f t="shared" si="6"/>
        <v>0</v>
      </c>
      <c r="AI15" s="831">
        <f t="shared" si="6"/>
        <v>0</v>
      </c>
      <c r="AJ15" s="830" t="str">
        <f>'Units &amp; Income'!$J$91</f>
        <v>Total Annual Rental Income</v>
      </c>
      <c r="AK15" s="536"/>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row>
    <row r="16" spans="1:87" s="109" customFormat="1" ht="15.75">
      <c r="A16" s="830" t="str">
        <f>'Units &amp; Income'!$A$30</f>
        <v>Parking</v>
      </c>
      <c r="B16" s="536"/>
      <c r="C16" s="531"/>
      <c r="D16" s="906">
        <f>' Project Debt &amp; NOI'!D15</f>
        <v>0.05</v>
      </c>
      <c r="E16" s="110">
        <f>-SUM(E9*D16)</f>
        <v>0</v>
      </c>
      <c r="F16" s="110">
        <f t="shared" ref="F16:AI16" si="7">-SUM(F9*$D$16)</f>
        <v>0</v>
      </c>
      <c r="G16" s="110">
        <f t="shared" si="7"/>
        <v>0</v>
      </c>
      <c r="H16" s="110">
        <f t="shared" si="7"/>
        <v>0</v>
      </c>
      <c r="I16" s="831">
        <f t="shared" si="7"/>
        <v>0</v>
      </c>
      <c r="J16" s="110">
        <f t="shared" si="7"/>
        <v>0</v>
      </c>
      <c r="K16" s="110">
        <f t="shared" si="7"/>
        <v>0</v>
      </c>
      <c r="L16" s="110">
        <f t="shared" si="7"/>
        <v>0</v>
      </c>
      <c r="M16" s="110">
        <f t="shared" si="7"/>
        <v>0</v>
      </c>
      <c r="N16" s="831">
        <f t="shared" si="7"/>
        <v>0</v>
      </c>
      <c r="O16" s="110">
        <f t="shared" si="7"/>
        <v>0</v>
      </c>
      <c r="P16" s="110">
        <f t="shared" si="7"/>
        <v>0</v>
      </c>
      <c r="Q16" s="110">
        <f t="shared" si="7"/>
        <v>0</v>
      </c>
      <c r="R16" s="110">
        <f t="shared" si="7"/>
        <v>0</v>
      </c>
      <c r="S16" s="110">
        <f t="shared" si="7"/>
        <v>0</v>
      </c>
      <c r="T16" s="1275"/>
      <c r="U16" s="110">
        <f t="shared" si="7"/>
        <v>0</v>
      </c>
      <c r="V16" s="110">
        <f t="shared" si="7"/>
        <v>0</v>
      </c>
      <c r="W16" s="110">
        <f t="shared" si="7"/>
        <v>0</v>
      </c>
      <c r="X16" s="110">
        <f t="shared" si="7"/>
        <v>0</v>
      </c>
      <c r="Y16" s="831">
        <f t="shared" si="7"/>
        <v>0</v>
      </c>
      <c r="Z16" s="110">
        <f t="shared" si="7"/>
        <v>0</v>
      </c>
      <c r="AA16" s="110">
        <f t="shared" si="7"/>
        <v>0</v>
      </c>
      <c r="AB16" s="110">
        <f t="shared" si="7"/>
        <v>0</v>
      </c>
      <c r="AC16" s="110">
        <f t="shared" si="7"/>
        <v>0</v>
      </c>
      <c r="AD16" s="110">
        <f t="shared" si="7"/>
        <v>0</v>
      </c>
      <c r="AE16" s="110">
        <f t="shared" si="7"/>
        <v>0</v>
      </c>
      <c r="AF16" s="110">
        <f t="shared" si="7"/>
        <v>0</v>
      </c>
      <c r="AG16" s="110">
        <f t="shared" si="7"/>
        <v>0</v>
      </c>
      <c r="AH16" s="110">
        <f t="shared" si="7"/>
        <v>0</v>
      </c>
      <c r="AI16" s="831">
        <f t="shared" si="7"/>
        <v>0</v>
      </c>
      <c r="AJ16" s="830" t="str">
        <f>'Units &amp; Income'!$A$30</f>
        <v>Parking</v>
      </c>
      <c r="AK16" s="536"/>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row>
    <row r="17" spans="1:87" s="109" customFormat="1" ht="15.75">
      <c r="A17" s="830" t="str">
        <f>'Units &amp; Income'!$A$33</f>
        <v>CSF</v>
      </c>
      <c r="B17" s="536"/>
      <c r="C17" s="531"/>
      <c r="D17" s="906">
        <f>' Project Debt &amp; NOI'!D16</f>
        <v>0.1</v>
      </c>
      <c r="E17" s="110">
        <f>-SUM(E10*D17)</f>
        <v>0</v>
      </c>
      <c r="F17" s="110">
        <f t="shared" ref="F17:AI17" si="8">-SUM(F10*$D$17)</f>
        <v>0</v>
      </c>
      <c r="G17" s="110">
        <f t="shared" si="8"/>
        <v>0</v>
      </c>
      <c r="H17" s="110">
        <f t="shared" si="8"/>
        <v>0</v>
      </c>
      <c r="I17" s="831">
        <f t="shared" si="8"/>
        <v>0</v>
      </c>
      <c r="J17" s="110">
        <f t="shared" si="8"/>
        <v>0</v>
      </c>
      <c r="K17" s="110">
        <f t="shared" si="8"/>
        <v>0</v>
      </c>
      <c r="L17" s="110">
        <f t="shared" si="8"/>
        <v>0</v>
      </c>
      <c r="M17" s="110">
        <f t="shared" si="8"/>
        <v>0</v>
      </c>
      <c r="N17" s="831">
        <f t="shared" si="8"/>
        <v>0</v>
      </c>
      <c r="O17" s="110">
        <f t="shared" si="8"/>
        <v>0</v>
      </c>
      <c r="P17" s="110">
        <f t="shared" si="8"/>
        <v>0</v>
      </c>
      <c r="Q17" s="110">
        <f t="shared" si="8"/>
        <v>0</v>
      </c>
      <c r="R17" s="110">
        <f t="shared" si="8"/>
        <v>0</v>
      </c>
      <c r="S17" s="110">
        <f t="shared" si="8"/>
        <v>0</v>
      </c>
      <c r="T17" s="1275"/>
      <c r="U17" s="110">
        <f t="shared" si="8"/>
        <v>0</v>
      </c>
      <c r="V17" s="110">
        <f t="shared" si="8"/>
        <v>0</v>
      </c>
      <c r="W17" s="110">
        <f t="shared" si="8"/>
        <v>0</v>
      </c>
      <c r="X17" s="110">
        <f t="shared" si="8"/>
        <v>0</v>
      </c>
      <c r="Y17" s="831">
        <f t="shared" si="8"/>
        <v>0</v>
      </c>
      <c r="Z17" s="110">
        <f t="shared" si="8"/>
        <v>0</v>
      </c>
      <c r="AA17" s="110">
        <f t="shared" si="8"/>
        <v>0</v>
      </c>
      <c r="AB17" s="110">
        <f t="shared" si="8"/>
        <v>0</v>
      </c>
      <c r="AC17" s="110">
        <f t="shared" si="8"/>
        <v>0</v>
      </c>
      <c r="AD17" s="110">
        <f t="shared" si="8"/>
        <v>0</v>
      </c>
      <c r="AE17" s="110">
        <f t="shared" si="8"/>
        <v>0</v>
      </c>
      <c r="AF17" s="110">
        <f t="shared" si="8"/>
        <v>0</v>
      </c>
      <c r="AG17" s="110">
        <f t="shared" si="8"/>
        <v>0</v>
      </c>
      <c r="AH17" s="110">
        <f t="shared" si="8"/>
        <v>0</v>
      </c>
      <c r="AI17" s="831">
        <f t="shared" si="8"/>
        <v>0</v>
      </c>
      <c r="AJ17" s="830" t="str">
        <f>'Units &amp; Income'!$A$33</f>
        <v>CSF</v>
      </c>
      <c r="AK17" s="536"/>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row>
    <row r="18" spans="1:87" s="109" customFormat="1" ht="17.25" customHeight="1">
      <c r="A18" s="830" t="str">
        <f>'Units &amp; Income'!$A$35</f>
        <v>Other Non-residential</v>
      </c>
      <c r="B18" s="536"/>
      <c r="C18" s="531"/>
      <c r="D18" s="906">
        <f>' Project Debt &amp; NOI'!D17</f>
        <v>0.1</v>
      </c>
      <c r="E18" s="110">
        <f>-SUM(E11*D18)</f>
        <v>0</v>
      </c>
      <c r="F18" s="110">
        <f t="shared" ref="F18:AI18" si="9">-SUM(F11*$D$18)</f>
        <v>0</v>
      </c>
      <c r="G18" s="110">
        <f t="shared" si="9"/>
        <v>0</v>
      </c>
      <c r="H18" s="110">
        <f t="shared" si="9"/>
        <v>0</v>
      </c>
      <c r="I18" s="831">
        <f t="shared" si="9"/>
        <v>0</v>
      </c>
      <c r="J18" s="110">
        <f t="shared" si="9"/>
        <v>0</v>
      </c>
      <c r="K18" s="110">
        <f t="shared" si="9"/>
        <v>0</v>
      </c>
      <c r="L18" s="110">
        <f t="shared" si="9"/>
        <v>0</v>
      </c>
      <c r="M18" s="110">
        <f t="shared" si="9"/>
        <v>0</v>
      </c>
      <c r="N18" s="831">
        <f t="shared" si="9"/>
        <v>0</v>
      </c>
      <c r="O18" s="110">
        <f t="shared" si="9"/>
        <v>0</v>
      </c>
      <c r="P18" s="110">
        <f t="shared" si="9"/>
        <v>0</v>
      </c>
      <c r="Q18" s="110">
        <f t="shared" si="9"/>
        <v>0</v>
      </c>
      <c r="R18" s="110">
        <f t="shared" si="9"/>
        <v>0</v>
      </c>
      <c r="S18" s="110">
        <f t="shared" si="9"/>
        <v>0</v>
      </c>
      <c r="T18" s="1275"/>
      <c r="U18" s="110">
        <f t="shared" si="9"/>
        <v>0</v>
      </c>
      <c r="V18" s="110">
        <f t="shared" si="9"/>
        <v>0</v>
      </c>
      <c r="W18" s="110">
        <f t="shared" si="9"/>
        <v>0</v>
      </c>
      <c r="X18" s="110">
        <f t="shared" si="9"/>
        <v>0</v>
      </c>
      <c r="Y18" s="831">
        <f t="shared" si="9"/>
        <v>0</v>
      </c>
      <c r="Z18" s="110">
        <f t="shared" si="9"/>
        <v>0</v>
      </c>
      <c r="AA18" s="110">
        <f t="shared" si="9"/>
        <v>0</v>
      </c>
      <c r="AB18" s="110">
        <f t="shared" si="9"/>
        <v>0</v>
      </c>
      <c r="AC18" s="110">
        <f t="shared" si="9"/>
        <v>0</v>
      </c>
      <c r="AD18" s="110">
        <f t="shared" si="9"/>
        <v>0</v>
      </c>
      <c r="AE18" s="110">
        <f t="shared" si="9"/>
        <v>0</v>
      </c>
      <c r="AF18" s="110">
        <f t="shared" si="9"/>
        <v>0</v>
      </c>
      <c r="AG18" s="110">
        <f t="shared" si="9"/>
        <v>0</v>
      </c>
      <c r="AH18" s="110">
        <f t="shared" si="9"/>
        <v>0</v>
      </c>
      <c r="AI18" s="831">
        <f t="shared" si="9"/>
        <v>0</v>
      </c>
      <c r="AJ18" s="830" t="str">
        <f>'Units &amp; Income'!$A$35</f>
        <v>Other Non-residential</v>
      </c>
      <c r="AK18" s="536"/>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row>
    <row r="19" spans="1:87" s="109" customFormat="1" ht="15.75">
      <c r="A19" s="832" t="str">
        <f>'Units &amp; Income'!$A$38</f>
        <v>Laundry</v>
      </c>
      <c r="B19" s="537"/>
      <c r="C19" s="531"/>
      <c r="D19" s="906">
        <f>' Project Debt &amp; NOI'!D18</f>
        <v>0.05</v>
      </c>
      <c r="E19" s="110">
        <f>-SUM(E12*D19)</f>
        <v>0</v>
      </c>
      <c r="F19" s="110">
        <f t="shared" ref="F19:AI19" si="10">-SUM(F12*$D$19)</f>
        <v>0</v>
      </c>
      <c r="G19" s="110">
        <f t="shared" si="10"/>
        <v>0</v>
      </c>
      <c r="H19" s="110">
        <f t="shared" si="10"/>
        <v>0</v>
      </c>
      <c r="I19" s="831">
        <f t="shared" si="10"/>
        <v>0</v>
      </c>
      <c r="J19" s="110">
        <f t="shared" si="10"/>
        <v>0</v>
      </c>
      <c r="K19" s="110">
        <f t="shared" si="10"/>
        <v>0</v>
      </c>
      <c r="L19" s="110">
        <f t="shared" si="10"/>
        <v>0</v>
      </c>
      <c r="M19" s="110">
        <f t="shared" si="10"/>
        <v>0</v>
      </c>
      <c r="N19" s="831">
        <f t="shared" si="10"/>
        <v>0</v>
      </c>
      <c r="O19" s="110">
        <f t="shared" si="10"/>
        <v>0</v>
      </c>
      <c r="P19" s="110">
        <f t="shared" si="10"/>
        <v>0</v>
      </c>
      <c r="Q19" s="110">
        <f t="shared" si="10"/>
        <v>0</v>
      </c>
      <c r="R19" s="110">
        <f t="shared" si="10"/>
        <v>0</v>
      </c>
      <c r="S19" s="110">
        <f t="shared" si="10"/>
        <v>0</v>
      </c>
      <c r="T19" s="1275"/>
      <c r="U19" s="110">
        <f t="shared" si="10"/>
        <v>0</v>
      </c>
      <c r="V19" s="110">
        <f t="shared" si="10"/>
        <v>0</v>
      </c>
      <c r="W19" s="110">
        <f t="shared" si="10"/>
        <v>0</v>
      </c>
      <c r="X19" s="110">
        <f t="shared" si="10"/>
        <v>0</v>
      </c>
      <c r="Y19" s="831">
        <f t="shared" si="10"/>
        <v>0</v>
      </c>
      <c r="Z19" s="110">
        <f t="shared" si="10"/>
        <v>0</v>
      </c>
      <c r="AA19" s="110">
        <f t="shared" si="10"/>
        <v>0</v>
      </c>
      <c r="AB19" s="110">
        <f t="shared" si="10"/>
        <v>0</v>
      </c>
      <c r="AC19" s="110">
        <f t="shared" si="10"/>
        <v>0</v>
      </c>
      <c r="AD19" s="110">
        <f t="shared" si="10"/>
        <v>0</v>
      </c>
      <c r="AE19" s="110">
        <f t="shared" si="10"/>
        <v>0</v>
      </c>
      <c r="AF19" s="110">
        <f t="shared" si="10"/>
        <v>0</v>
      </c>
      <c r="AG19" s="110">
        <f t="shared" si="10"/>
        <v>0</v>
      </c>
      <c r="AH19" s="110">
        <f t="shared" si="10"/>
        <v>0</v>
      </c>
      <c r="AI19" s="831">
        <f t="shared" si="10"/>
        <v>0</v>
      </c>
      <c r="AJ19" s="832" t="str">
        <f>'Units &amp; Income'!$A$38</f>
        <v>Laundry</v>
      </c>
      <c r="AK19" s="537"/>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row>
    <row r="20" spans="1:87" s="109" customFormat="1" ht="17.25" customHeight="1">
      <c r="A20" s="833" t="s">
        <v>129</v>
      </c>
      <c r="B20" s="538"/>
      <c r="C20" s="532"/>
      <c r="D20" s="824"/>
      <c r="E20" s="549">
        <f t="shared" ref="E20:AI20" si="11">SUM(E15:E19)</f>
        <v>0</v>
      </c>
      <c r="F20" s="549">
        <f t="shared" si="11"/>
        <v>0</v>
      </c>
      <c r="G20" s="549">
        <f t="shared" si="11"/>
        <v>0</v>
      </c>
      <c r="H20" s="549">
        <f t="shared" si="11"/>
        <v>0</v>
      </c>
      <c r="I20" s="836">
        <f t="shared" si="11"/>
        <v>0</v>
      </c>
      <c r="J20" s="549">
        <f t="shared" si="11"/>
        <v>0</v>
      </c>
      <c r="K20" s="549">
        <f t="shared" si="11"/>
        <v>0</v>
      </c>
      <c r="L20" s="549">
        <f t="shared" si="11"/>
        <v>0</v>
      </c>
      <c r="M20" s="549">
        <f t="shared" si="11"/>
        <v>0</v>
      </c>
      <c r="N20" s="836">
        <f t="shared" si="11"/>
        <v>0</v>
      </c>
      <c r="O20" s="549">
        <f t="shared" si="11"/>
        <v>0</v>
      </c>
      <c r="P20" s="549">
        <f t="shared" si="11"/>
        <v>0</v>
      </c>
      <c r="Q20" s="549">
        <f t="shared" si="11"/>
        <v>0</v>
      </c>
      <c r="R20" s="549">
        <f t="shared" si="11"/>
        <v>0</v>
      </c>
      <c r="S20" s="549">
        <f t="shared" si="11"/>
        <v>0</v>
      </c>
      <c r="T20" s="1278"/>
      <c r="U20" s="549">
        <f t="shared" si="11"/>
        <v>0</v>
      </c>
      <c r="V20" s="549">
        <f t="shared" si="11"/>
        <v>0</v>
      </c>
      <c r="W20" s="549">
        <f t="shared" si="11"/>
        <v>0</v>
      </c>
      <c r="X20" s="549">
        <f t="shared" si="11"/>
        <v>0</v>
      </c>
      <c r="Y20" s="836">
        <f t="shared" si="11"/>
        <v>0</v>
      </c>
      <c r="Z20" s="549">
        <f t="shared" si="11"/>
        <v>0</v>
      </c>
      <c r="AA20" s="549">
        <f t="shared" si="11"/>
        <v>0</v>
      </c>
      <c r="AB20" s="549">
        <f t="shared" si="11"/>
        <v>0</v>
      </c>
      <c r="AC20" s="549">
        <f t="shared" si="11"/>
        <v>0</v>
      </c>
      <c r="AD20" s="549">
        <f t="shared" si="11"/>
        <v>0</v>
      </c>
      <c r="AE20" s="549">
        <f t="shared" si="11"/>
        <v>0</v>
      </c>
      <c r="AF20" s="549">
        <f t="shared" si="11"/>
        <v>0</v>
      </c>
      <c r="AG20" s="549">
        <f t="shared" si="11"/>
        <v>0</v>
      </c>
      <c r="AH20" s="549">
        <f t="shared" si="11"/>
        <v>0</v>
      </c>
      <c r="AI20" s="836">
        <f t="shared" si="11"/>
        <v>0</v>
      </c>
      <c r="AJ20" s="833" t="s">
        <v>129</v>
      </c>
      <c r="AK20" s="538"/>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row>
    <row r="21" spans="1:87" s="113" customFormat="1" ht="17.25" customHeight="1">
      <c r="A21" s="828" t="s">
        <v>95</v>
      </c>
      <c r="B21" s="105"/>
      <c r="C21" s="531"/>
      <c r="D21" s="825"/>
      <c r="E21" s="110"/>
      <c r="F21" s="110"/>
      <c r="G21" s="110"/>
      <c r="H21" s="110"/>
      <c r="I21" s="831"/>
      <c r="J21" s="110"/>
      <c r="K21" s="110"/>
      <c r="L21" s="110"/>
      <c r="M21" s="110"/>
      <c r="N21" s="831"/>
      <c r="O21" s="110"/>
      <c r="P21" s="110"/>
      <c r="Q21" s="110"/>
      <c r="R21" s="110"/>
      <c r="S21" s="110"/>
      <c r="T21" s="1275"/>
      <c r="U21" s="110"/>
      <c r="V21" s="110"/>
      <c r="W21" s="110"/>
      <c r="X21" s="110"/>
      <c r="Y21" s="831"/>
      <c r="Z21" s="110"/>
      <c r="AA21" s="110"/>
      <c r="AB21" s="110"/>
      <c r="AC21" s="110"/>
      <c r="AD21" s="110"/>
      <c r="AE21" s="110"/>
      <c r="AF21" s="110"/>
      <c r="AG21" s="110"/>
      <c r="AH21" s="110"/>
      <c r="AI21" s="831"/>
      <c r="AJ21" s="828" t="s">
        <v>95</v>
      </c>
      <c r="AK21" s="105"/>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row>
    <row r="22" spans="1:87" s="113" customFormat="1" ht="15.75">
      <c r="A22" s="830" t="str">
        <f>'Units &amp; Income'!J93</f>
        <v>Total Residential Operating Income</v>
      </c>
      <c r="B22" s="536"/>
      <c r="C22" s="531"/>
      <c r="D22" s="825"/>
      <c r="E22" s="110">
        <f>SUM(E7+E8+E15)</f>
        <v>0</v>
      </c>
      <c r="F22" s="110">
        <f t="shared" ref="F22:AI22" si="12">SUM(F7+F8+F15)</f>
        <v>0</v>
      </c>
      <c r="G22" s="110">
        <f t="shared" si="12"/>
        <v>0</v>
      </c>
      <c r="H22" s="110">
        <f t="shared" si="12"/>
        <v>0</v>
      </c>
      <c r="I22" s="831">
        <f t="shared" si="12"/>
        <v>0</v>
      </c>
      <c r="J22" s="110">
        <f t="shared" si="12"/>
        <v>0</v>
      </c>
      <c r="K22" s="110">
        <f t="shared" si="12"/>
        <v>0</v>
      </c>
      <c r="L22" s="110">
        <f t="shared" si="12"/>
        <v>0</v>
      </c>
      <c r="M22" s="110">
        <f t="shared" si="12"/>
        <v>0</v>
      </c>
      <c r="N22" s="831">
        <f t="shared" si="12"/>
        <v>0</v>
      </c>
      <c r="O22" s="110">
        <f t="shared" si="12"/>
        <v>0</v>
      </c>
      <c r="P22" s="110">
        <f t="shared" si="12"/>
        <v>0</v>
      </c>
      <c r="Q22" s="110">
        <f t="shared" si="12"/>
        <v>0</v>
      </c>
      <c r="R22" s="110">
        <f t="shared" si="12"/>
        <v>0</v>
      </c>
      <c r="S22" s="110">
        <f t="shared" si="12"/>
        <v>0</v>
      </c>
      <c r="T22" s="1275"/>
      <c r="U22" s="110">
        <f t="shared" si="12"/>
        <v>0</v>
      </c>
      <c r="V22" s="110">
        <f t="shared" si="12"/>
        <v>0</v>
      </c>
      <c r="W22" s="110">
        <f t="shared" si="12"/>
        <v>0</v>
      </c>
      <c r="X22" s="110">
        <f t="shared" si="12"/>
        <v>0</v>
      </c>
      <c r="Y22" s="831">
        <f t="shared" si="12"/>
        <v>0</v>
      </c>
      <c r="Z22" s="110">
        <f t="shared" si="12"/>
        <v>0</v>
      </c>
      <c r="AA22" s="110">
        <f t="shared" si="12"/>
        <v>0</v>
      </c>
      <c r="AB22" s="110">
        <f t="shared" si="12"/>
        <v>0</v>
      </c>
      <c r="AC22" s="110">
        <f t="shared" si="12"/>
        <v>0</v>
      </c>
      <c r="AD22" s="110">
        <f t="shared" si="12"/>
        <v>0</v>
      </c>
      <c r="AE22" s="110">
        <f t="shared" si="12"/>
        <v>0</v>
      </c>
      <c r="AF22" s="110">
        <f t="shared" si="12"/>
        <v>0</v>
      </c>
      <c r="AG22" s="110">
        <f t="shared" si="12"/>
        <v>0</v>
      </c>
      <c r="AH22" s="110">
        <f t="shared" si="12"/>
        <v>0</v>
      </c>
      <c r="AI22" s="110">
        <f t="shared" si="12"/>
        <v>0</v>
      </c>
      <c r="AJ22" s="830" t="str">
        <f>'Units &amp; Income'!$J$91</f>
        <v>Total Annual Rental Income</v>
      </c>
      <c r="AK22" s="536"/>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row>
    <row r="23" spans="1:87" s="113" customFormat="1" ht="15.75">
      <c r="A23" s="830" t="str">
        <f>'Units &amp; Income'!$A$30</f>
        <v>Parking</v>
      </c>
      <c r="B23" s="536"/>
      <c r="C23" s="531"/>
      <c r="D23" s="825"/>
      <c r="E23" s="110">
        <f t="shared" ref="E23:AI23" si="13">SUM(E9+E16)</f>
        <v>0</v>
      </c>
      <c r="F23" s="110">
        <f t="shared" si="13"/>
        <v>0</v>
      </c>
      <c r="G23" s="110">
        <f t="shared" si="13"/>
        <v>0</v>
      </c>
      <c r="H23" s="110">
        <f t="shared" si="13"/>
        <v>0</v>
      </c>
      <c r="I23" s="831">
        <f t="shared" si="13"/>
        <v>0</v>
      </c>
      <c r="J23" s="110">
        <f t="shared" si="13"/>
        <v>0</v>
      </c>
      <c r="K23" s="110">
        <f t="shared" si="13"/>
        <v>0</v>
      </c>
      <c r="L23" s="110">
        <f t="shared" si="13"/>
        <v>0</v>
      </c>
      <c r="M23" s="110">
        <f t="shared" si="13"/>
        <v>0</v>
      </c>
      <c r="N23" s="831">
        <f t="shared" si="13"/>
        <v>0</v>
      </c>
      <c r="O23" s="110">
        <f t="shared" si="13"/>
        <v>0</v>
      </c>
      <c r="P23" s="110">
        <f t="shared" si="13"/>
        <v>0</v>
      </c>
      <c r="Q23" s="110">
        <f t="shared" si="13"/>
        <v>0</v>
      </c>
      <c r="R23" s="110">
        <f t="shared" si="13"/>
        <v>0</v>
      </c>
      <c r="S23" s="110">
        <f t="shared" si="13"/>
        <v>0</v>
      </c>
      <c r="T23" s="1275"/>
      <c r="U23" s="110">
        <f t="shared" si="13"/>
        <v>0</v>
      </c>
      <c r="V23" s="110">
        <f t="shared" si="13"/>
        <v>0</v>
      </c>
      <c r="W23" s="110">
        <f t="shared" si="13"/>
        <v>0</v>
      </c>
      <c r="X23" s="110">
        <f t="shared" si="13"/>
        <v>0</v>
      </c>
      <c r="Y23" s="831">
        <f t="shared" si="13"/>
        <v>0</v>
      </c>
      <c r="Z23" s="110">
        <f t="shared" si="13"/>
        <v>0</v>
      </c>
      <c r="AA23" s="110">
        <f t="shared" si="13"/>
        <v>0</v>
      </c>
      <c r="AB23" s="110">
        <f t="shared" si="13"/>
        <v>0</v>
      </c>
      <c r="AC23" s="110">
        <f t="shared" si="13"/>
        <v>0</v>
      </c>
      <c r="AD23" s="110">
        <f t="shared" si="13"/>
        <v>0</v>
      </c>
      <c r="AE23" s="110">
        <f t="shared" si="13"/>
        <v>0</v>
      </c>
      <c r="AF23" s="110">
        <f t="shared" si="13"/>
        <v>0</v>
      </c>
      <c r="AG23" s="110">
        <f t="shared" si="13"/>
        <v>0</v>
      </c>
      <c r="AH23" s="110">
        <f t="shared" si="13"/>
        <v>0</v>
      </c>
      <c r="AI23" s="831">
        <f t="shared" si="13"/>
        <v>0</v>
      </c>
      <c r="AJ23" s="830" t="str">
        <f>'Units &amp; Income'!$A$30</f>
        <v>Parking</v>
      </c>
      <c r="AK23" s="536"/>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row>
    <row r="24" spans="1:87" s="113" customFormat="1" ht="15.75">
      <c r="A24" s="830" t="str">
        <f>'Units &amp; Income'!$A$33</f>
        <v>CSF</v>
      </c>
      <c r="B24" s="536"/>
      <c r="C24" s="531"/>
      <c r="D24" s="825"/>
      <c r="E24" s="110">
        <f t="shared" ref="E24:AI24" si="14">SUM(E10+E17)</f>
        <v>0</v>
      </c>
      <c r="F24" s="110">
        <f t="shared" si="14"/>
        <v>0</v>
      </c>
      <c r="G24" s="110">
        <f t="shared" si="14"/>
        <v>0</v>
      </c>
      <c r="H24" s="110">
        <f t="shared" si="14"/>
        <v>0</v>
      </c>
      <c r="I24" s="831">
        <f t="shared" si="14"/>
        <v>0</v>
      </c>
      <c r="J24" s="110">
        <f t="shared" si="14"/>
        <v>0</v>
      </c>
      <c r="K24" s="110">
        <f t="shared" si="14"/>
        <v>0</v>
      </c>
      <c r="L24" s="110">
        <f t="shared" si="14"/>
        <v>0</v>
      </c>
      <c r="M24" s="110">
        <f t="shared" si="14"/>
        <v>0</v>
      </c>
      <c r="N24" s="831">
        <f t="shared" si="14"/>
        <v>0</v>
      </c>
      <c r="O24" s="110">
        <f t="shared" si="14"/>
        <v>0</v>
      </c>
      <c r="P24" s="110">
        <f t="shared" si="14"/>
        <v>0</v>
      </c>
      <c r="Q24" s="110">
        <f t="shared" si="14"/>
        <v>0</v>
      </c>
      <c r="R24" s="110">
        <f t="shared" si="14"/>
        <v>0</v>
      </c>
      <c r="S24" s="110">
        <f t="shared" si="14"/>
        <v>0</v>
      </c>
      <c r="T24" s="1275"/>
      <c r="U24" s="110">
        <f t="shared" si="14"/>
        <v>0</v>
      </c>
      <c r="V24" s="110">
        <f t="shared" si="14"/>
        <v>0</v>
      </c>
      <c r="W24" s="110">
        <f t="shared" si="14"/>
        <v>0</v>
      </c>
      <c r="X24" s="110">
        <f t="shared" si="14"/>
        <v>0</v>
      </c>
      <c r="Y24" s="831">
        <f t="shared" si="14"/>
        <v>0</v>
      </c>
      <c r="Z24" s="110">
        <f t="shared" si="14"/>
        <v>0</v>
      </c>
      <c r="AA24" s="110">
        <f t="shared" si="14"/>
        <v>0</v>
      </c>
      <c r="AB24" s="110">
        <f t="shared" si="14"/>
        <v>0</v>
      </c>
      <c r="AC24" s="110">
        <f t="shared" si="14"/>
        <v>0</v>
      </c>
      <c r="AD24" s="110">
        <f t="shared" si="14"/>
        <v>0</v>
      </c>
      <c r="AE24" s="110">
        <f t="shared" si="14"/>
        <v>0</v>
      </c>
      <c r="AF24" s="110">
        <f t="shared" si="14"/>
        <v>0</v>
      </c>
      <c r="AG24" s="110">
        <f t="shared" si="14"/>
        <v>0</v>
      </c>
      <c r="AH24" s="110">
        <f t="shared" si="14"/>
        <v>0</v>
      </c>
      <c r="AI24" s="831">
        <f t="shared" si="14"/>
        <v>0</v>
      </c>
      <c r="AJ24" s="830" t="str">
        <f>'Units &amp; Income'!$A$33</f>
        <v>CSF</v>
      </c>
      <c r="AK24" s="536"/>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row>
    <row r="25" spans="1:87" s="113" customFormat="1" ht="17.25" customHeight="1">
      <c r="A25" s="830" t="str">
        <f>'Units &amp; Income'!$A$35</f>
        <v>Other Non-residential</v>
      </c>
      <c r="B25" s="536"/>
      <c r="C25" s="531"/>
      <c r="D25" s="825"/>
      <c r="E25" s="110">
        <f t="shared" ref="E25:AI25" si="15">SUM(E11+E18)</f>
        <v>0</v>
      </c>
      <c r="F25" s="110">
        <f t="shared" si="15"/>
        <v>0</v>
      </c>
      <c r="G25" s="110">
        <f t="shared" si="15"/>
        <v>0</v>
      </c>
      <c r="H25" s="110">
        <f t="shared" si="15"/>
        <v>0</v>
      </c>
      <c r="I25" s="831">
        <f t="shared" si="15"/>
        <v>0</v>
      </c>
      <c r="J25" s="110">
        <f t="shared" si="15"/>
        <v>0</v>
      </c>
      <c r="K25" s="110">
        <f t="shared" si="15"/>
        <v>0</v>
      </c>
      <c r="L25" s="110">
        <f t="shared" si="15"/>
        <v>0</v>
      </c>
      <c r="M25" s="110">
        <f t="shared" si="15"/>
        <v>0</v>
      </c>
      <c r="N25" s="831">
        <f t="shared" si="15"/>
        <v>0</v>
      </c>
      <c r="O25" s="110">
        <f t="shared" si="15"/>
        <v>0</v>
      </c>
      <c r="P25" s="110">
        <f t="shared" si="15"/>
        <v>0</v>
      </c>
      <c r="Q25" s="110">
        <f t="shared" si="15"/>
        <v>0</v>
      </c>
      <c r="R25" s="110">
        <f t="shared" si="15"/>
        <v>0</v>
      </c>
      <c r="S25" s="110">
        <f t="shared" si="15"/>
        <v>0</v>
      </c>
      <c r="T25" s="1275"/>
      <c r="U25" s="110">
        <f t="shared" si="15"/>
        <v>0</v>
      </c>
      <c r="V25" s="110">
        <f t="shared" si="15"/>
        <v>0</v>
      </c>
      <c r="W25" s="110">
        <f t="shared" si="15"/>
        <v>0</v>
      </c>
      <c r="X25" s="110">
        <f t="shared" si="15"/>
        <v>0</v>
      </c>
      <c r="Y25" s="831">
        <f t="shared" si="15"/>
        <v>0</v>
      </c>
      <c r="Z25" s="110">
        <f t="shared" si="15"/>
        <v>0</v>
      </c>
      <c r="AA25" s="110">
        <f t="shared" si="15"/>
        <v>0</v>
      </c>
      <c r="AB25" s="110">
        <f t="shared" si="15"/>
        <v>0</v>
      </c>
      <c r="AC25" s="110">
        <f t="shared" si="15"/>
        <v>0</v>
      </c>
      <c r="AD25" s="110">
        <f t="shared" si="15"/>
        <v>0</v>
      </c>
      <c r="AE25" s="110">
        <f t="shared" si="15"/>
        <v>0</v>
      </c>
      <c r="AF25" s="110">
        <f t="shared" si="15"/>
        <v>0</v>
      </c>
      <c r="AG25" s="110">
        <f t="shared" si="15"/>
        <v>0</v>
      </c>
      <c r="AH25" s="110">
        <f t="shared" si="15"/>
        <v>0</v>
      </c>
      <c r="AI25" s="831">
        <f t="shared" si="15"/>
        <v>0</v>
      </c>
      <c r="AJ25" s="830" t="str">
        <f>'Units &amp; Income'!$A$35</f>
        <v>Other Non-residential</v>
      </c>
      <c r="AK25" s="536"/>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row>
    <row r="26" spans="1:87" s="113" customFormat="1" ht="15.75">
      <c r="A26" s="832" t="str">
        <f>'Units &amp; Income'!$A$38</f>
        <v>Laundry</v>
      </c>
      <c r="B26" s="537"/>
      <c r="C26" s="531"/>
      <c r="D26" s="825"/>
      <c r="E26" s="110">
        <f t="shared" ref="E26:AI26" si="16">SUM(E12+E19)</f>
        <v>0</v>
      </c>
      <c r="F26" s="110">
        <f t="shared" si="16"/>
        <v>0</v>
      </c>
      <c r="G26" s="110">
        <f t="shared" si="16"/>
        <v>0</v>
      </c>
      <c r="H26" s="110">
        <f t="shared" si="16"/>
        <v>0</v>
      </c>
      <c r="I26" s="831">
        <f t="shared" si="16"/>
        <v>0</v>
      </c>
      <c r="J26" s="110">
        <f t="shared" si="16"/>
        <v>0</v>
      </c>
      <c r="K26" s="110">
        <f t="shared" si="16"/>
        <v>0</v>
      </c>
      <c r="L26" s="110">
        <f t="shared" si="16"/>
        <v>0</v>
      </c>
      <c r="M26" s="110">
        <f t="shared" si="16"/>
        <v>0</v>
      </c>
      <c r="N26" s="831">
        <f t="shared" si="16"/>
        <v>0</v>
      </c>
      <c r="O26" s="110">
        <f t="shared" si="16"/>
        <v>0</v>
      </c>
      <c r="P26" s="110">
        <f t="shared" si="16"/>
        <v>0</v>
      </c>
      <c r="Q26" s="110">
        <f t="shared" si="16"/>
        <v>0</v>
      </c>
      <c r="R26" s="110">
        <f t="shared" si="16"/>
        <v>0</v>
      </c>
      <c r="S26" s="110">
        <f t="shared" si="16"/>
        <v>0</v>
      </c>
      <c r="T26" s="1275"/>
      <c r="U26" s="110">
        <f t="shared" si="16"/>
        <v>0</v>
      </c>
      <c r="V26" s="110">
        <f t="shared" si="16"/>
        <v>0</v>
      </c>
      <c r="W26" s="110">
        <f t="shared" si="16"/>
        <v>0</v>
      </c>
      <c r="X26" s="110">
        <f t="shared" si="16"/>
        <v>0</v>
      </c>
      <c r="Y26" s="831">
        <f t="shared" si="16"/>
        <v>0</v>
      </c>
      <c r="Z26" s="110">
        <f t="shared" si="16"/>
        <v>0</v>
      </c>
      <c r="AA26" s="110">
        <f t="shared" si="16"/>
        <v>0</v>
      </c>
      <c r="AB26" s="110">
        <f t="shared" si="16"/>
        <v>0</v>
      </c>
      <c r="AC26" s="110">
        <f t="shared" si="16"/>
        <v>0</v>
      </c>
      <c r="AD26" s="110">
        <f t="shared" si="16"/>
        <v>0</v>
      </c>
      <c r="AE26" s="110">
        <f t="shared" si="16"/>
        <v>0</v>
      </c>
      <c r="AF26" s="110">
        <f t="shared" si="16"/>
        <v>0</v>
      </c>
      <c r="AG26" s="110">
        <f t="shared" si="16"/>
        <v>0</v>
      </c>
      <c r="AH26" s="110">
        <f t="shared" si="16"/>
        <v>0</v>
      </c>
      <c r="AI26" s="831">
        <f t="shared" si="16"/>
        <v>0</v>
      </c>
      <c r="AJ26" s="832" t="str">
        <f>'Units &amp; Income'!$A$38</f>
        <v>Laundry</v>
      </c>
      <c r="AK26" s="537"/>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row>
    <row r="27" spans="1:87" s="114" customFormat="1" ht="17.25" customHeight="1">
      <c r="A27" s="842" t="s">
        <v>130</v>
      </c>
      <c r="B27" s="539"/>
      <c r="C27" s="533"/>
      <c r="D27" s="826"/>
      <c r="E27" s="550">
        <f t="shared" ref="E27:AI27" si="17">SUM(E22:E26)</f>
        <v>0</v>
      </c>
      <c r="F27" s="550">
        <f t="shared" si="17"/>
        <v>0</v>
      </c>
      <c r="G27" s="550">
        <f t="shared" si="17"/>
        <v>0</v>
      </c>
      <c r="H27" s="550">
        <f t="shared" si="17"/>
        <v>0</v>
      </c>
      <c r="I27" s="837">
        <f t="shared" si="17"/>
        <v>0</v>
      </c>
      <c r="J27" s="550">
        <f t="shared" si="17"/>
        <v>0</v>
      </c>
      <c r="K27" s="550">
        <f t="shared" si="17"/>
        <v>0</v>
      </c>
      <c r="L27" s="550">
        <f t="shared" si="17"/>
        <v>0</v>
      </c>
      <c r="M27" s="550">
        <f t="shared" si="17"/>
        <v>0</v>
      </c>
      <c r="N27" s="837">
        <f t="shared" si="17"/>
        <v>0</v>
      </c>
      <c r="O27" s="550">
        <f t="shared" si="17"/>
        <v>0</v>
      </c>
      <c r="P27" s="550">
        <f t="shared" si="17"/>
        <v>0</v>
      </c>
      <c r="Q27" s="550">
        <f t="shared" si="17"/>
        <v>0</v>
      </c>
      <c r="R27" s="550">
        <f t="shared" si="17"/>
        <v>0</v>
      </c>
      <c r="S27" s="550">
        <f t="shared" si="17"/>
        <v>0</v>
      </c>
      <c r="T27" s="1279">
        <f>SUM(E27:S27)</f>
        <v>0</v>
      </c>
      <c r="U27" s="550">
        <f t="shared" si="17"/>
        <v>0</v>
      </c>
      <c r="V27" s="550">
        <f t="shared" si="17"/>
        <v>0</v>
      </c>
      <c r="W27" s="550">
        <f t="shared" si="17"/>
        <v>0</v>
      </c>
      <c r="X27" s="550">
        <f t="shared" si="17"/>
        <v>0</v>
      </c>
      <c r="Y27" s="837">
        <f t="shared" si="17"/>
        <v>0</v>
      </c>
      <c r="Z27" s="550">
        <f t="shared" si="17"/>
        <v>0</v>
      </c>
      <c r="AA27" s="550">
        <f t="shared" si="17"/>
        <v>0</v>
      </c>
      <c r="AB27" s="550">
        <f t="shared" si="17"/>
        <v>0</v>
      </c>
      <c r="AC27" s="550">
        <f t="shared" si="17"/>
        <v>0</v>
      </c>
      <c r="AD27" s="550">
        <f t="shared" si="17"/>
        <v>0</v>
      </c>
      <c r="AE27" s="550">
        <f t="shared" si="17"/>
        <v>0</v>
      </c>
      <c r="AF27" s="550">
        <f t="shared" si="17"/>
        <v>0</v>
      </c>
      <c r="AG27" s="550">
        <f t="shared" si="17"/>
        <v>0</v>
      </c>
      <c r="AH27" s="550">
        <f t="shared" si="17"/>
        <v>0</v>
      </c>
      <c r="AI27" s="837">
        <f t="shared" si="17"/>
        <v>0</v>
      </c>
      <c r="AJ27" s="842" t="s">
        <v>130</v>
      </c>
      <c r="AK27" s="539"/>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row>
    <row r="28" spans="1:87" s="109" customFormat="1" ht="23.25" customHeight="1">
      <c r="A28" s="838" t="s">
        <v>100</v>
      </c>
      <c r="B28" s="540"/>
      <c r="C28" s="1564" t="s">
        <v>804</v>
      </c>
      <c r="D28" s="827"/>
      <c r="E28" s="820"/>
      <c r="F28" s="820"/>
      <c r="G28" s="115"/>
      <c r="H28" s="115"/>
      <c r="I28" s="839"/>
      <c r="J28" s="115"/>
      <c r="K28" s="115"/>
      <c r="L28" s="115"/>
      <c r="M28" s="115"/>
      <c r="N28" s="839"/>
      <c r="O28" s="115"/>
      <c r="P28" s="115"/>
      <c r="Q28" s="115"/>
      <c r="R28" s="115"/>
      <c r="S28" s="115"/>
      <c r="T28" s="1280"/>
      <c r="U28" s="115"/>
      <c r="V28" s="115"/>
      <c r="W28" s="115"/>
      <c r="X28" s="115"/>
      <c r="Y28" s="839"/>
      <c r="Z28" s="115"/>
      <c r="AA28" s="115"/>
      <c r="AB28" s="115"/>
      <c r="AC28" s="115"/>
      <c r="AD28" s="115"/>
      <c r="AE28" s="115"/>
      <c r="AF28" s="115"/>
      <c r="AG28" s="115"/>
      <c r="AH28" s="115"/>
      <c r="AI28" s="839"/>
      <c r="AJ28" s="838" t="s">
        <v>100</v>
      </c>
      <c r="AK28" s="540"/>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row>
    <row r="29" spans="1:87" s="109" customFormat="1" ht="17.25" customHeight="1">
      <c r="A29" s="840" t="s">
        <v>162</v>
      </c>
      <c r="B29" s="541"/>
      <c r="C29" s="1565"/>
      <c r="D29" s="907">
        <v>0.03</v>
      </c>
      <c r="E29" s="1328">
        <f>'Operating Expenses '!G51-'Operating Expenses '!G9-'Operating Expenses '!G21</f>
        <v>0</v>
      </c>
      <c r="F29" s="111">
        <f>E29*$D$29+E29</f>
        <v>0</v>
      </c>
      <c r="G29" s="111">
        <f t="shared" ref="G29:AI29" si="18">F29*$D$29+F29</f>
        <v>0</v>
      </c>
      <c r="H29" s="111">
        <f t="shared" si="18"/>
        <v>0</v>
      </c>
      <c r="I29" s="835">
        <f t="shared" si="18"/>
        <v>0</v>
      </c>
      <c r="J29" s="111">
        <f t="shared" si="18"/>
        <v>0</v>
      </c>
      <c r="K29" s="111">
        <f t="shared" si="18"/>
        <v>0</v>
      </c>
      <c r="L29" s="111">
        <f t="shared" si="18"/>
        <v>0</v>
      </c>
      <c r="M29" s="111">
        <f t="shared" si="18"/>
        <v>0</v>
      </c>
      <c r="N29" s="835">
        <f t="shared" si="18"/>
        <v>0</v>
      </c>
      <c r="O29" s="111">
        <f t="shared" si="18"/>
        <v>0</v>
      </c>
      <c r="P29" s="111">
        <f t="shared" si="18"/>
        <v>0</v>
      </c>
      <c r="Q29" s="111">
        <f t="shared" si="18"/>
        <v>0</v>
      </c>
      <c r="R29" s="111">
        <f t="shared" si="18"/>
        <v>0</v>
      </c>
      <c r="S29" s="111">
        <f t="shared" si="18"/>
        <v>0</v>
      </c>
      <c r="T29" s="1277"/>
      <c r="U29" s="111">
        <f>S29*$D$29+S29</f>
        <v>0</v>
      </c>
      <c r="V29" s="111">
        <f t="shared" si="18"/>
        <v>0</v>
      </c>
      <c r="W29" s="111">
        <f t="shared" si="18"/>
        <v>0</v>
      </c>
      <c r="X29" s="111">
        <f t="shared" si="18"/>
        <v>0</v>
      </c>
      <c r="Y29" s="835">
        <f t="shared" si="18"/>
        <v>0</v>
      </c>
      <c r="Z29" s="111">
        <f t="shared" si="18"/>
        <v>0</v>
      </c>
      <c r="AA29" s="111">
        <f t="shared" si="18"/>
        <v>0</v>
      </c>
      <c r="AB29" s="111">
        <f t="shared" si="18"/>
        <v>0</v>
      </c>
      <c r="AC29" s="111">
        <f t="shared" si="18"/>
        <v>0</v>
      </c>
      <c r="AD29" s="111">
        <f t="shared" si="18"/>
        <v>0</v>
      </c>
      <c r="AE29" s="111">
        <f t="shared" si="18"/>
        <v>0</v>
      </c>
      <c r="AF29" s="111">
        <f t="shared" si="18"/>
        <v>0</v>
      </c>
      <c r="AG29" s="111">
        <f t="shared" si="18"/>
        <v>0</v>
      </c>
      <c r="AH29" s="111">
        <f t="shared" si="18"/>
        <v>0</v>
      </c>
      <c r="AI29" s="835">
        <f t="shared" si="18"/>
        <v>0</v>
      </c>
      <c r="AJ29" s="840" t="s">
        <v>162</v>
      </c>
      <c r="AK29" s="541"/>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row>
    <row r="30" spans="1:87" s="109" customFormat="1" ht="17.25" customHeight="1">
      <c r="A30" s="1358" t="s">
        <v>87</v>
      </c>
      <c r="B30" s="1332"/>
      <c r="C30" s="1565"/>
      <c r="D30" s="1359">
        <v>0.03</v>
      </c>
      <c r="E30" s="1333">
        <f>'Operating Expenses '!G9</f>
        <v>0</v>
      </c>
      <c r="F30" s="1334">
        <f>E30*$D$30+E30</f>
        <v>0</v>
      </c>
      <c r="G30" s="1334">
        <f>F30*$D$30+F30</f>
        <v>0</v>
      </c>
      <c r="H30" s="1334">
        <f t="shared" ref="H30:S30" si="19">G30*$D$30+G30</f>
        <v>0</v>
      </c>
      <c r="I30" s="1334">
        <f t="shared" si="19"/>
        <v>0</v>
      </c>
      <c r="J30" s="1339">
        <f t="shared" si="19"/>
        <v>0</v>
      </c>
      <c r="K30" s="1334">
        <f t="shared" si="19"/>
        <v>0</v>
      </c>
      <c r="L30" s="1334">
        <f t="shared" si="19"/>
        <v>0</v>
      </c>
      <c r="M30" s="1334">
        <f t="shared" si="19"/>
        <v>0</v>
      </c>
      <c r="N30" s="1334">
        <f t="shared" si="19"/>
        <v>0</v>
      </c>
      <c r="O30" s="1339">
        <f t="shared" si="19"/>
        <v>0</v>
      </c>
      <c r="P30" s="1334">
        <f t="shared" si="19"/>
        <v>0</v>
      </c>
      <c r="Q30" s="1334">
        <f t="shared" si="19"/>
        <v>0</v>
      </c>
      <c r="R30" s="1334">
        <f t="shared" si="19"/>
        <v>0</v>
      </c>
      <c r="S30" s="1334">
        <f t="shared" si="19"/>
        <v>0</v>
      </c>
      <c r="T30" s="1335"/>
      <c r="U30" s="1334">
        <f>S30*$D$30+S30</f>
        <v>0</v>
      </c>
      <c r="V30" s="1334">
        <f>U30*$D$30+U30</f>
        <v>0</v>
      </c>
      <c r="W30" s="1334">
        <f t="shared" ref="W30:AI30" si="20">V30*$D$30+V30</f>
        <v>0</v>
      </c>
      <c r="X30" s="1334">
        <f t="shared" si="20"/>
        <v>0</v>
      </c>
      <c r="Y30" s="1334">
        <f t="shared" si="20"/>
        <v>0</v>
      </c>
      <c r="Z30" s="1339">
        <f t="shared" si="20"/>
        <v>0</v>
      </c>
      <c r="AA30" s="1334">
        <f t="shared" si="20"/>
        <v>0</v>
      </c>
      <c r="AB30" s="1334">
        <f t="shared" si="20"/>
        <v>0</v>
      </c>
      <c r="AC30" s="1334">
        <f t="shared" si="20"/>
        <v>0</v>
      </c>
      <c r="AD30" s="1334">
        <f t="shared" si="20"/>
        <v>0</v>
      </c>
      <c r="AE30" s="1334">
        <f t="shared" si="20"/>
        <v>0</v>
      </c>
      <c r="AF30" s="1334">
        <f t="shared" si="20"/>
        <v>0</v>
      </c>
      <c r="AG30" s="1334">
        <f t="shared" si="20"/>
        <v>0</v>
      </c>
      <c r="AH30" s="1334">
        <f t="shared" si="20"/>
        <v>0</v>
      </c>
      <c r="AI30" s="1334">
        <f t="shared" si="20"/>
        <v>0</v>
      </c>
      <c r="AJ30" s="840" t="s">
        <v>162</v>
      </c>
      <c r="AK30" s="541"/>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row>
    <row r="31" spans="1:87" s="109" customFormat="1" ht="17.25" customHeight="1">
      <c r="A31" s="840" t="s">
        <v>776</v>
      </c>
      <c r="B31" s="541"/>
      <c r="C31" s="1565"/>
      <c r="D31" s="907">
        <v>0.02</v>
      </c>
      <c r="E31" s="110">
        <f>'Operating Expenses '!G21</f>
        <v>0</v>
      </c>
      <c r="F31" s="111">
        <f>E31*$D$31+E31</f>
        <v>0</v>
      </c>
      <c r="G31" s="111">
        <f t="shared" ref="G31:S31" si="21">F31*$D$31+F31</f>
        <v>0</v>
      </c>
      <c r="H31" s="111">
        <f t="shared" si="21"/>
        <v>0</v>
      </c>
      <c r="I31" s="835">
        <f t="shared" si="21"/>
        <v>0</v>
      </c>
      <c r="J31" s="111">
        <f t="shared" si="21"/>
        <v>0</v>
      </c>
      <c r="K31" s="111">
        <f t="shared" si="21"/>
        <v>0</v>
      </c>
      <c r="L31" s="111">
        <f t="shared" si="21"/>
        <v>0</v>
      </c>
      <c r="M31" s="111">
        <f t="shared" si="21"/>
        <v>0</v>
      </c>
      <c r="N31" s="835">
        <f t="shared" si="21"/>
        <v>0</v>
      </c>
      <c r="O31" s="111">
        <f t="shared" si="21"/>
        <v>0</v>
      </c>
      <c r="P31" s="111">
        <f t="shared" si="21"/>
        <v>0</v>
      </c>
      <c r="Q31" s="111">
        <f t="shared" si="21"/>
        <v>0</v>
      </c>
      <c r="R31" s="111">
        <f t="shared" si="21"/>
        <v>0</v>
      </c>
      <c r="S31" s="111">
        <f t="shared" si="21"/>
        <v>0</v>
      </c>
      <c r="T31" s="1277"/>
      <c r="U31" s="111">
        <f>S31*$D$31+S31</f>
        <v>0</v>
      </c>
      <c r="V31" s="111">
        <f>U31*$D$31+U31</f>
        <v>0</v>
      </c>
      <c r="W31" s="111">
        <f t="shared" ref="W31:AI31" si="22">V31*$D$31+V31</f>
        <v>0</v>
      </c>
      <c r="X31" s="111">
        <f t="shared" si="22"/>
        <v>0</v>
      </c>
      <c r="Y31" s="835">
        <f t="shared" si="22"/>
        <v>0</v>
      </c>
      <c r="Z31" s="111">
        <f t="shared" si="22"/>
        <v>0</v>
      </c>
      <c r="AA31" s="111">
        <f t="shared" si="22"/>
        <v>0</v>
      </c>
      <c r="AB31" s="111">
        <f t="shared" si="22"/>
        <v>0</v>
      </c>
      <c r="AC31" s="111">
        <f t="shared" si="22"/>
        <v>0</v>
      </c>
      <c r="AD31" s="111">
        <f t="shared" si="22"/>
        <v>0</v>
      </c>
      <c r="AE31" s="111">
        <f t="shared" si="22"/>
        <v>0</v>
      </c>
      <c r="AF31" s="111">
        <f t="shared" si="22"/>
        <v>0</v>
      </c>
      <c r="AG31" s="111">
        <f t="shared" si="22"/>
        <v>0</v>
      </c>
      <c r="AH31" s="111">
        <f t="shared" si="22"/>
        <v>0</v>
      </c>
      <c r="AI31" s="111">
        <f t="shared" si="22"/>
        <v>0</v>
      </c>
      <c r="AJ31" s="840" t="s">
        <v>776</v>
      </c>
      <c r="AK31" s="541"/>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row>
    <row r="32" spans="1:87" s="114" customFormat="1" ht="17.25" customHeight="1">
      <c r="A32" s="841" t="str">
        <f>'Operating Expenses '!A25</f>
        <v xml:space="preserve"> Management Fee </v>
      </c>
      <c r="B32" s="542"/>
      <c r="C32" s="1566"/>
      <c r="D32" s="907">
        <v>0.02</v>
      </c>
      <c r="E32" s="110">
        <f>'Operating Expenses '!G25</f>
        <v>0</v>
      </c>
      <c r="F32" s="111">
        <f>E32*$D$32+E32</f>
        <v>0</v>
      </c>
      <c r="G32" s="111">
        <f t="shared" ref="G32:AI32" si="23">F32*$D$32+F32</f>
        <v>0</v>
      </c>
      <c r="H32" s="111">
        <f t="shared" si="23"/>
        <v>0</v>
      </c>
      <c r="I32" s="835">
        <f t="shared" si="23"/>
        <v>0</v>
      </c>
      <c r="J32" s="111">
        <f t="shared" si="23"/>
        <v>0</v>
      </c>
      <c r="K32" s="111">
        <f t="shared" si="23"/>
        <v>0</v>
      </c>
      <c r="L32" s="111">
        <f t="shared" si="23"/>
        <v>0</v>
      </c>
      <c r="M32" s="111">
        <f t="shared" si="23"/>
        <v>0</v>
      </c>
      <c r="N32" s="835">
        <f t="shared" si="23"/>
        <v>0</v>
      </c>
      <c r="O32" s="111">
        <f t="shared" si="23"/>
        <v>0</v>
      </c>
      <c r="P32" s="111">
        <f t="shared" si="23"/>
        <v>0</v>
      </c>
      <c r="Q32" s="111">
        <f t="shared" si="23"/>
        <v>0</v>
      </c>
      <c r="R32" s="111">
        <f t="shared" si="23"/>
        <v>0</v>
      </c>
      <c r="S32" s="111">
        <f t="shared" si="23"/>
        <v>0</v>
      </c>
      <c r="T32" s="1277"/>
      <c r="U32" s="111">
        <f>S32*$D$32+S32</f>
        <v>0</v>
      </c>
      <c r="V32" s="111">
        <f t="shared" si="23"/>
        <v>0</v>
      </c>
      <c r="W32" s="111">
        <f t="shared" si="23"/>
        <v>0</v>
      </c>
      <c r="X32" s="111">
        <f t="shared" si="23"/>
        <v>0</v>
      </c>
      <c r="Y32" s="835">
        <f t="shared" si="23"/>
        <v>0</v>
      </c>
      <c r="Z32" s="111">
        <f t="shared" si="23"/>
        <v>0</v>
      </c>
      <c r="AA32" s="111">
        <f t="shared" si="23"/>
        <v>0</v>
      </c>
      <c r="AB32" s="111">
        <f t="shared" si="23"/>
        <v>0</v>
      </c>
      <c r="AC32" s="111">
        <f t="shared" si="23"/>
        <v>0</v>
      </c>
      <c r="AD32" s="111">
        <f t="shared" si="23"/>
        <v>0</v>
      </c>
      <c r="AE32" s="111">
        <f t="shared" si="23"/>
        <v>0</v>
      </c>
      <c r="AF32" s="111">
        <f t="shared" si="23"/>
        <v>0</v>
      </c>
      <c r="AG32" s="111">
        <f t="shared" si="23"/>
        <v>0</v>
      </c>
      <c r="AH32" s="111">
        <f t="shared" si="23"/>
        <v>0</v>
      </c>
      <c r="AI32" s="835">
        <f t="shared" si="23"/>
        <v>0</v>
      </c>
      <c r="AJ32" s="841" t="str">
        <f>A32</f>
        <v xml:space="preserve"> Management Fee </v>
      </c>
      <c r="AK32" s="54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row>
    <row r="33" spans="1:87" s="116" customFormat="1" ht="19.5" customHeight="1">
      <c r="A33" s="833" t="s">
        <v>135</v>
      </c>
      <c r="B33" s="543"/>
      <c r="C33" s="533"/>
      <c r="D33" s="826" t="s">
        <v>34</v>
      </c>
      <c r="E33" s="1329">
        <f t="shared" ref="E33:S33" si="24">SUM(E29:E32)</f>
        <v>0</v>
      </c>
      <c r="F33" s="550">
        <f t="shared" si="24"/>
        <v>0</v>
      </c>
      <c r="G33" s="550">
        <f t="shared" si="24"/>
        <v>0</v>
      </c>
      <c r="H33" s="550">
        <f t="shared" si="24"/>
        <v>0</v>
      </c>
      <c r="I33" s="837">
        <f t="shared" si="24"/>
        <v>0</v>
      </c>
      <c r="J33" s="550">
        <f t="shared" si="24"/>
        <v>0</v>
      </c>
      <c r="K33" s="550">
        <f t="shared" si="24"/>
        <v>0</v>
      </c>
      <c r="L33" s="550">
        <f t="shared" si="24"/>
        <v>0</v>
      </c>
      <c r="M33" s="550">
        <f t="shared" si="24"/>
        <v>0</v>
      </c>
      <c r="N33" s="837">
        <f t="shared" si="24"/>
        <v>0</v>
      </c>
      <c r="O33" s="550">
        <f t="shared" si="24"/>
        <v>0</v>
      </c>
      <c r="P33" s="550">
        <f t="shared" si="24"/>
        <v>0</v>
      </c>
      <c r="Q33" s="550">
        <f t="shared" si="24"/>
        <v>0</v>
      </c>
      <c r="R33" s="550">
        <f t="shared" si="24"/>
        <v>0</v>
      </c>
      <c r="S33" s="550">
        <f t="shared" si="24"/>
        <v>0</v>
      </c>
      <c r="T33" s="1279"/>
      <c r="U33" s="550">
        <f t="shared" ref="U33:AI33" si="25">SUM(U29:U32)</f>
        <v>0</v>
      </c>
      <c r="V33" s="550">
        <f t="shared" si="25"/>
        <v>0</v>
      </c>
      <c r="W33" s="550">
        <f t="shared" si="25"/>
        <v>0</v>
      </c>
      <c r="X33" s="550">
        <f t="shared" si="25"/>
        <v>0</v>
      </c>
      <c r="Y33" s="837">
        <f t="shared" si="25"/>
        <v>0</v>
      </c>
      <c r="Z33" s="550">
        <f t="shared" si="25"/>
        <v>0</v>
      </c>
      <c r="AA33" s="550">
        <f t="shared" si="25"/>
        <v>0</v>
      </c>
      <c r="AB33" s="550">
        <f t="shared" si="25"/>
        <v>0</v>
      </c>
      <c r="AC33" s="550">
        <f t="shared" si="25"/>
        <v>0</v>
      </c>
      <c r="AD33" s="550">
        <f t="shared" si="25"/>
        <v>0</v>
      </c>
      <c r="AE33" s="550">
        <f t="shared" si="25"/>
        <v>0</v>
      </c>
      <c r="AF33" s="550">
        <f t="shared" si="25"/>
        <v>0</v>
      </c>
      <c r="AG33" s="550">
        <f t="shared" si="25"/>
        <v>0</v>
      </c>
      <c r="AH33" s="550">
        <f t="shared" si="25"/>
        <v>0</v>
      </c>
      <c r="AI33" s="837">
        <f t="shared" si="25"/>
        <v>0</v>
      </c>
      <c r="AJ33" s="833" t="s">
        <v>135</v>
      </c>
      <c r="AK33" s="543"/>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row>
    <row r="34" spans="1:87" s="113" customFormat="1" ht="17.25" customHeight="1">
      <c r="A34" s="830" t="str">
        <f>'Operating Expenses '!A54</f>
        <v>Operating Reserves</v>
      </c>
      <c r="B34" s="536"/>
      <c r="C34" s="534"/>
      <c r="D34" s="907">
        <v>0.02</v>
      </c>
      <c r="E34" s="110">
        <f>-'Operating Expenses '!G54</f>
        <v>0</v>
      </c>
      <c r="F34" s="111">
        <f>E34*$D$34+E34</f>
        <v>0</v>
      </c>
      <c r="G34" s="111">
        <f t="shared" ref="G34:AI34" si="26">F34*$D$34+F34</f>
        <v>0</v>
      </c>
      <c r="H34" s="111">
        <f t="shared" si="26"/>
        <v>0</v>
      </c>
      <c r="I34" s="835">
        <f t="shared" si="26"/>
        <v>0</v>
      </c>
      <c r="J34" s="111">
        <f t="shared" si="26"/>
        <v>0</v>
      </c>
      <c r="K34" s="111">
        <f t="shared" si="26"/>
        <v>0</v>
      </c>
      <c r="L34" s="111">
        <f t="shared" si="26"/>
        <v>0</v>
      </c>
      <c r="M34" s="111">
        <f t="shared" si="26"/>
        <v>0</v>
      </c>
      <c r="N34" s="835">
        <f t="shared" si="26"/>
        <v>0</v>
      </c>
      <c r="O34" s="111">
        <f t="shared" si="26"/>
        <v>0</v>
      </c>
      <c r="P34" s="111">
        <f t="shared" si="26"/>
        <v>0</v>
      </c>
      <c r="Q34" s="111">
        <f t="shared" si="26"/>
        <v>0</v>
      </c>
      <c r="R34" s="111">
        <f t="shared" si="26"/>
        <v>0</v>
      </c>
      <c r="S34" s="111">
        <f t="shared" si="26"/>
        <v>0</v>
      </c>
      <c r="T34" s="1277"/>
      <c r="U34" s="111">
        <f>S34*$D$34+S34</f>
        <v>0</v>
      </c>
      <c r="V34" s="111">
        <f t="shared" si="26"/>
        <v>0</v>
      </c>
      <c r="W34" s="111">
        <f t="shared" si="26"/>
        <v>0</v>
      </c>
      <c r="X34" s="111">
        <f t="shared" si="26"/>
        <v>0</v>
      </c>
      <c r="Y34" s="835">
        <f t="shared" si="26"/>
        <v>0</v>
      </c>
      <c r="Z34" s="111">
        <f t="shared" si="26"/>
        <v>0</v>
      </c>
      <c r="AA34" s="111">
        <f t="shared" si="26"/>
        <v>0</v>
      </c>
      <c r="AB34" s="111">
        <f t="shared" si="26"/>
        <v>0</v>
      </c>
      <c r="AC34" s="111">
        <f t="shared" si="26"/>
        <v>0</v>
      </c>
      <c r="AD34" s="111">
        <f t="shared" si="26"/>
        <v>0</v>
      </c>
      <c r="AE34" s="111">
        <f>AD34*$D$32+AD34</f>
        <v>0</v>
      </c>
      <c r="AF34" s="111">
        <f t="shared" si="26"/>
        <v>0</v>
      </c>
      <c r="AG34" s="111">
        <f t="shared" si="26"/>
        <v>0</v>
      </c>
      <c r="AH34" s="111">
        <f t="shared" si="26"/>
        <v>0</v>
      </c>
      <c r="AI34" s="835">
        <f t="shared" si="26"/>
        <v>0</v>
      </c>
      <c r="AJ34" s="830" t="str">
        <f>A34</f>
        <v>Operating Reserves</v>
      </c>
      <c r="AK34" s="536"/>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row>
    <row r="35" spans="1:87" s="1260" customFormat="1" ht="17.25" customHeight="1">
      <c r="A35" s="832" t="s">
        <v>92</v>
      </c>
      <c r="B35" s="537"/>
      <c r="C35" s="1255"/>
      <c r="D35" s="1256">
        <v>0.03</v>
      </c>
      <c r="E35" s="1257">
        <f>-'Operating Expenses '!G55</f>
        <v>0</v>
      </c>
      <c r="F35" s="1258">
        <f>E35*$D$35+E35</f>
        <v>0</v>
      </c>
      <c r="G35" s="1258">
        <f t="shared" ref="G35:AI35" si="27">F35*$D$35+F35</f>
        <v>0</v>
      </c>
      <c r="H35" s="1258">
        <f t="shared" si="27"/>
        <v>0</v>
      </c>
      <c r="I35" s="1259">
        <f t="shared" si="27"/>
        <v>0</v>
      </c>
      <c r="J35" s="1258">
        <f t="shared" si="27"/>
        <v>0</v>
      </c>
      <c r="K35" s="1258">
        <f t="shared" si="27"/>
        <v>0</v>
      </c>
      <c r="L35" s="1258">
        <f t="shared" si="27"/>
        <v>0</v>
      </c>
      <c r="M35" s="1258">
        <f t="shared" si="27"/>
        <v>0</v>
      </c>
      <c r="N35" s="1259">
        <f t="shared" si="27"/>
        <v>0</v>
      </c>
      <c r="O35" s="1258">
        <f t="shared" si="27"/>
        <v>0</v>
      </c>
      <c r="P35" s="1258">
        <f t="shared" si="27"/>
        <v>0</v>
      </c>
      <c r="Q35" s="1258">
        <f t="shared" si="27"/>
        <v>0</v>
      </c>
      <c r="R35" s="1258">
        <f t="shared" si="27"/>
        <v>0</v>
      </c>
      <c r="S35" s="1258">
        <f t="shared" si="27"/>
        <v>0</v>
      </c>
      <c r="T35" s="1281"/>
      <c r="U35" s="1258">
        <f>S35*$D$35+S35</f>
        <v>0</v>
      </c>
      <c r="V35" s="1258">
        <f t="shared" si="27"/>
        <v>0</v>
      </c>
      <c r="W35" s="1258">
        <f t="shared" si="27"/>
        <v>0</v>
      </c>
      <c r="X35" s="1258">
        <f t="shared" si="27"/>
        <v>0</v>
      </c>
      <c r="Y35" s="1259">
        <f t="shared" si="27"/>
        <v>0</v>
      </c>
      <c r="Z35" s="1258">
        <f t="shared" si="27"/>
        <v>0</v>
      </c>
      <c r="AA35" s="1258">
        <f t="shared" si="27"/>
        <v>0</v>
      </c>
      <c r="AB35" s="1258">
        <f t="shared" si="27"/>
        <v>0</v>
      </c>
      <c r="AC35" s="1258">
        <f t="shared" si="27"/>
        <v>0</v>
      </c>
      <c r="AD35" s="1258">
        <f t="shared" si="27"/>
        <v>0</v>
      </c>
      <c r="AE35" s="1258">
        <f t="shared" si="27"/>
        <v>0</v>
      </c>
      <c r="AF35" s="1258">
        <f t="shared" si="27"/>
        <v>0</v>
      </c>
      <c r="AG35" s="1258">
        <f t="shared" si="27"/>
        <v>0</v>
      </c>
      <c r="AH35" s="1258">
        <f t="shared" si="27"/>
        <v>0</v>
      </c>
      <c r="AI35" s="1263">
        <f t="shared" si="27"/>
        <v>0</v>
      </c>
      <c r="AJ35" s="832" t="s">
        <v>92</v>
      </c>
      <c r="AK35" s="537"/>
      <c r="AL35" s="429"/>
      <c r="AM35" s="429"/>
      <c r="AN35" s="429"/>
      <c r="AO35" s="429"/>
      <c r="AP35" s="429"/>
      <c r="AQ35" s="429"/>
      <c r="AR35" s="429"/>
      <c r="AS35" s="429"/>
      <c r="AT35" s="429"/>
      <c r="AU35" s="429"/>
      <c r="AV35" s="429"/>
      <c r="AW35" s="429"/>
      <c r="AX35" s="429"/>
      <c r="AY35" s="429"/>
      <c r="AZ35" s="429"/>
      <c r="BA35" s="429"/>
      <c r="BB35" s="429"/>
      <c r="BC35" s="429"/>
      <c r="BD35" s="429"/>
      <c r="BE35" s="429"/>
      <c r="BF35" s="429"/>
      <c r="BG35" s="429"/>
      <c r="BH35" s="429"/>
      <c r="BI35" s="429"/>
      <c r="BJ35" s="429"/>
      <c r="BK35" s="429"/>
      <c r="BL35" s="429"/>
      <c r="BM35" s="429"/>
      <c r="BN35" s="429"/>
      <c r="BO35" s="429"/>
      <c r="BP35" s="429"/>
      <c r="BQ35" s="429"/>
      <c r="BR35" s="429"/>
      <c r="BS35" s="429"/>
      <c r="BT35" s="429"/>
      <c r="BU35" s="429"/>
      <c r="BV35" s="429"/>
      <c r="BW35" s="429"/>
      <c r="BX35" s="429"/>
      <c r="BY35" s="429"/>
      <c r="BZ35" s="429"/>
      <c r="CA35" s="429"/>
      <c r="CB35" s="429"/>
      <c r="CC35" s="429"/>
      <c r="CD35" s="429"/>
      <c r="CE35" s="429"/>
      <c r="CF35" s="429"/>
      <c r="CG35" s="429"/>
      <c r="CH35" s="429"/>
      <c r="CI35" s="429"/>
    </row>
    <row r="36" spans="1:87" s="117" customFormat="1" ht="20.25" customHeight="1">
      <c r="A36" s="842" t="s">
        <v>136</v>
      </c>
      <c r="B36" s="544"/>
      <c r="C36" s="533"/>
      <c r="D36" s="826"/>
      <c r="E36" s="550">
        <f>-E33+E34+E35</f>
        <v>0</v>
      </c>
      <c r="F36" s="550">
        <f>-F33+F34+F35</f>
        <v>0</v>
      </c>
      <c r="G36" s="550">
        <f t="shared" ref="G36:S36" si="28">-G33+G34+G35</f>
        <v>0</v>
      </c>
      <c r="H36" s="550">
        <f t="shared" si="28"/>
        <v>0</v>
      </c>
      <c r="I36" s="837">
        <f t="shared" si="28"/>
        <v>0</v>
      </c>
      <c r="J36" s="550">
        <f t="shared" si="28"/>
        <v>0</v>
      </c>
      <c r="K36" s="550">
        <f t="shared" si="28"/>
        <v>0</v>
      </c>
      <c r="L36" s="550">
        <f t="shared" si="28"/>
        <v>0</v>
      </c>
      <c r="M36" s="550">
        <f t="shared" si="28"/>
        <v>0</v>
      </c>
      <c r="N36" s="837">
        <f t="shared" si="28"/>
        <v>0</v>
      </c>
      <c r="O36" s="550">
        <f t="shared" si="28"/>
        <v>0</v>
      </c>
      <c r="P36" s="550">
        <f t="shared" si="28"/>
        <v>0</v>
      </c>
      <c r="Q36" s="550">
        <f t="shared" si="28"/>
        <v>0</v>
      </c>
      <c r="R36" s="550">
        <f t="shared" si="28"/>
        <v>0</v>
      </c>
      <c r="S36" s="550">
        <f t="shared" si="28"/>
        <v>0</v>
      </c>
      <c r="T36" s="1279"/>
      <c r="U36" s="550">
        <f>-U33+U34+U35</f>
        <v>0</v>
      </c>
      <c r="V36" s="550">
        <f t="shared" ref="V36:AI36" si="29">-V33+V34+V35</f>
        <v>0</v>
      </c>
      <c r="W36" s="550">
        <f t="shared" si="29"/>
        <v>0</v>
      </c>
      <c r="X36" s="550">
        <f t="shared" si="29"/>
        <v>0</v>
      </c>
      <c r="Y36" s="837">
        <f t="shared" si="29"/>
        <v>0</v>
      </c>
      <c r="Z36" s="550">
        <f t="shared" si="29"/>
        <v>0</v>
      </c>
      <c r="AA36" s="550">
        <f t="shared" si="29"/>
        <v>0</v>
      </c>
      <c r="AB36" s="550">
        <f t="shared" si="29"/>
        <v>0</v>
      </c>
      <c r="AC36" s="550">
        <f t="shared" si="29"/>
        <v>0</v>
      </c>
      <c r="AD36" s="550">
        <f t="shared" si="29"/>
        <v>0</v>
      </c>
      <c r="AE36" s="550">
        <f t="shared" si="29"/>
        <v>0</v>
      </c>
      <c r="AF36" s="550">
        <f t="shared" si="29"/>
        <v>0</v>
      </c>
      <c r="AG36" s="550">
        <f t="shared" si="29"/>
        <v>0</v>
      </c>
      <c r="AH36" s="550">
        <f t="shared" si="29"/>
        <v>0</v>
      </c>
      <c r="AI36" s="550">
        <f t="shared" si="29"/>
        <v>0</v>
      </c>
      <c r="AJ36" s="842" t="s">
        <v>136</v>
      </c>
      <c r="AK36" s="544"/>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row>
    <row r="37" spans="1:87" s="116" customFormat="1" ht="17.25" customHeight="1">
      <c r="A37" s="845" t="s">
        <v>137</v>
      </c>
      <c r="B37" s="846"/>
      <c r="C37" s="847"/>
      <c r="D37" s="848"/>
      <c r="E37" s="849">
        <f t="shared" ref="E37:S37" si="30">E27+E36</f>
        <v>0</v>
      </c>
      <c r="F37" s="849">
        <f t="shared" si="30"/>
        <v>0</v>
      </c>
      <c r="G37" s="849">
        <f t="shared" si="30"/>
        <v>0</v>
      </c>
      <c r="H37" s="849">
        <f t="shared" si="30"/>
        <v>0</v>
      </c>
      <c r="I37" s="850">
        <f t="shared" si="30"/>
        <v>0</v>
      </c>
      <c r="J37" s="849">
        <f t="shared" si="30"/>
        <v>0</v>
      </c>
      <c r="K37" s="849">
        <f t="shared" si="30"/>
        <v>0</v>
      </c>
      <c r="L37" s="849">
        <f t="shared" si="30"/>
        <v>0</v>
      </c>
      <c r="M37" s="849">
        <f t="shared" si="30"/>
        <v>0</v>
      </c>
      <c r="N37" s="850">
        <f t="shared" si="30"/>
        <v>0</v>
      </c>
      <c r="O37" s="849">
        <f t="shared" si="30"/>
        <v>0</v>
      </c>
      <c r="P37" s="849">
        <f t="shared" si="30"/>
        <v>0</v>
      </c>
      <c r="Q37" s="849">
        <f t="shared" si="30"/>
        <v>0</v>
      </c>
      <c r="R37" s="849">
        <f t="shared" si="30"/>
        <v>0</v>
      </c>
      <c r="S37" s="849">
        <f t="shared" si="30"/>
        <v>0</v>
      </c>
      <c r="T37" s="1282">
        <f>SUM(E37:S37)</f>
        <v>0</v>
      </c>
      <c r="U37" s="849">
        <f t="shared" ref="U37:AI37" si="31">U27+U36</f>
        <v>0</v>
      </c>
      <c r="V37" s="849">
        <f t="shared" si="31"/>
        <v>0</v>
      </c>
      <c r="W37" s="849">
        <f t="shared" si="31"/>
        <v>0</v>
      </c>
      <c r="X37" s="849">
        <f t="shared" si="31"/>
        <v>0</v>
      </c>
      <c r="Y37" s="850">
        <f t="shared" si="31"/>
        <v>0</v>
      </c>
      <c r="Z37" s="849">
        <f t="shared" si="31"/>
        <v>0</v>
      </c>
      <c r="AA37" s="849">
        <f t="shared" si="31"/>
        <v>0</v>
      </c>
      <c r="AB37" s="849">
        <f t="shared" si="31"/>
        <v>0</v>
      </c>
      <c r="AC37" s="849">
        <f t="shared" si="31"/>
        <v>0</v>
      </c>
      <c r="AD37" s="849">
        <f t="shared" si="31"/>
        <v>0</v>
      </c>
      <c r="AE37" s="849">
        <f t="shared" si="31"/>
        <v>0</v>
      </c>
      <c r="AF37" s="849">
        <f t="shared" si="31"/>
        <v>0</v>
      </c>
      <c r="AG37" s="849">
        <f t="shared" si="31"/>
        <v>0</v>
      </c>
      <c r="AH37" s="849">
        <f t="shared" si="31"/>
        <v>0</v>
      </c>
      <c r="AI37" s="850">
        <f t="shared" si="31"/>
        <v>0</v>
      </c>
      <c r="AJ37" s="845" t="s">
        <v>137</v>
      </c>
      <c r="AK37" s="846"/>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row>
    <row r="38" spans="1:87" s="118" customFormat="1" ht="17.25" customHeight="1">
      <c r="A38" s="1355" t="s">
        <v>34</v>
      </c>
      <c r="B38" s="896"/>
      <c r="C38" s="897"/>
      <c r="D38" s="898"/>
      <c r="E38" s="1299" t="s">
        <v>22</v>
      </c>
      <c r="F38" s="1299" t="s">
        <v>23</v>
      </c>
      <c r="G38" s="1299" t="s">
        <v>24</v>
      </c>
      <c r="H38" s="1299" t="s">
        <v>25</v>
      </c>
      <c r="I38" s="1300" t="s">
        <v>26</v>
      </c>
      <c r="J38" s="1299" t="s">
        <v>27</v>
      </c>
      <c r="K38" s="1299" t="s">
        <v>28</v>
      </c>
      <c r="L38" s="1299" t="s">
        <v>29</v>
      </c>
      <c r="M38" s="1299" t="s">
        <v>30</v>
      </c>
      <c r="N38" s="1300" t="s">
        <v>31</v>
      </c>
      <c r="O38" s="1299" t="s">
        <v>35</v>
      </c>
      <c r="P38" s="1299" t="s">
        <v>36</v>
      </c>
      <c r="Q38" s="1299" t="s">
        <v>66</v>
      </c>
      <c r="R38" s="1299" t="s">
        <v>67</v>
      </c>
      <c r="S38" s="1299" t="s">
        <v>68</v>
      </c>
      <c r="T38" s="1301" t="s">
        <v>753</v>
      </c>
      <c r="U38" s="1299" t="s">
        <v>70</v>
      </c>
      <c r="V38" s="1299" t="s">
        <v>71</v>
      </c>
      <c r="W38" s="1299" t="s">
        <v>72</v>
      </c>
      <c r="X38" s="1299" t="s">
        <v>73</v>
      </c>
      <c r="Y38" s="1300" t="s">
        <v>74</v>
      </c>
      <c r="Z38" s="1299" t="s">
        <v>75</v>
      </c>
      <c r="AA38" s="1299" t="s">
        <v>76</v>
      </c>
      <c r="AB38" s="1299" t="s">
        <v>77</v>
      </c>
      <c r="AC38" s="1299" t="s">
        <v>78</v>
      </c>
      <c r="AD38" s="1299" t="s">
        <v>79</v>
      </c>
      <c r="AE38" s="1299" t="s">
        <v>80</v>
      </c>
      <c r="AF38" s="1299" t="s">
        <v>81</v>
      </c>
      <c r="AG38" s="1299" t="s">
        <v>82</v>
      </c>
      <c r="AH38" s="1299" t="s">
        <v>83</v>
      </c>
      <c r="AI38" s="1300" t="s">
        <v>84</v>
      </c>
      <c r="AJ38" s="895" t="s">
        <v>34</v>
      </c>
      <c r="AK38" s="896"/>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row>
    <row r="39" spans="1:87" s="109" customFormat="1" ht="17.25" customHeight="1">
      <c r="A39" s="851" t="s">
        <v>96</v>
      </c>
      <c r="B39" s="852"/>
      <c r="C39" s="853"/>
      <c r="D39" s="854" t="s">
        <v>47</v>
      </c>
      <c r="E39" s="855"/>
      <c r="F39" s="855"/>
      <c r="G39" s="856"/>
      <c r="H39" s="856"/>
      <c r="I39" s="1217"/>
      <c r="J39" s="115"/>
      <c r="K39" s="115"/>
      <c r="L39" s="115"/>
      <c r="M39" s="115"/>
      <c r="N39" s="839"/>
      <c r="O39" s="115"/>
      <c r="P39" s="115"/>
      <c r="Q39" s="115"/>
      <c r="R39" s="115"/>
      <c r="S39" s="115"/>
      <c r="T39" s="1280"/>
      <c r="U39" s="115"/>
      <c r="V39" s="115"/>
      <c r="W39" s="115"/>
      <c r="X39" s="115"/>
      <c r="Y39" s="839"/>
      <c r="Z39" s="115"/>
      <c r="AA39" s="115"/>
      <c r="AB39" s="115"/>
      <c r="AC39" s="115"/>
      <c r="AD39" s="115"/>
      <c r="AE39" s="115"/>
      <c r="AF39" s="115"/>
      <c r="AG39" s="115"/>
      <c r="AH39" s="115"/>
      <c r="AI39" s="839"/>
      <c r="AJ39" s="851" t="s">
        <v>96</v>
      </c>
      <c r="AK39" s="85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row>
    <row r="40" spans="1:87" s="109" customFormat="1" ht="17.25" customHeight="1">
      <c r="A40" s="1562">
        <f>'Sources and Uses'!A25</f>
        <v>0</v>
      </c>
      <c r="B40" s="1563"/>
      <c r="C40" s="858">
        <f>'Sources and Uses'!C25</f>
        <v>0</v>
      </c>
      <c r="D40" s="1289">
        <f>' Project Debt &amp; NOI'!D47</f>
        <v>0</v>
      </c>
      <c r="E40" s="110">
        <f>-' Project Debt &amp; NOI'!D49</f>
        <v>0</v>
      </c>
      <c r="F40" s="110">
        <f>E40</f>
        <v>0</v>
      </c>
      <c r="G40" s="110">
        <f t="shared" ref="G40:AI40" si="32">F40</f>
        <v>0</v>
      </c>
      <c r="H40" s="110">
        <f t="shared" si="32"/>
        <v>0</v>
      </c>
      <c r="I40" s="831">
        <f t="shared" si="32"/>
        <v>0</v>
      </c>
      <c r="J40" s="110">
        <f t="shared" si="32"/>
        <v>0</v>
      </c>
      <c r="K40" s="110">
        <f t="shared" si="32"/>
        <v>0</v>
      </c>
      <c r="L40" s="110">
        <f t="shared" si="32"/>
        <v>0</v>
      </c>
      <c r="M40" s="110">
        <f t="shared" si="32"/>
        <v>0</v>
      </c>
      <c r="N40" s="831">
        <f t="shared" si="32"/>
        <v>0</v>
      </c>
      <c r="O40" s="110">
        <f t="shared" si="32"/>
        <v>0</v>
      </c>
      <c r="P40" s="110">
        <f t="shared" si="32"/>
        <v>0</v>
      </c>
      <c r="Q40" s="110">
        <f t="shared" si="32"/>
        <v>0</v>
      </c>
      <c r="R40" s="110">
        <f t="shared" si="32"/>
        <v>0</v>
      </c>
      <c r="S40" s="110">
        <f t="shared" si="32"/>
        <v>0</v>
      </c>
      <c r="T40" s="1275"/>
      <c r="U40" s="110">
        <f>S40</f>
        <v>0</v>
      </c>
      <c r="V40" s="110">
        <f t="shared" si="32"/>
        <v>0</v>
      </c>
      <c r="W40" s="110">
        <f t="shared" si="32"/>
        <v>0</v>
      </c>
      <c r="X40" s="110">
        <f t="shared" si="32"/>
        <v>0</v>
      </c>
      <c r="Y40" s="831">
        <f t="shared" si="32"/>
        <v>0</v>
      </c>
      <c r="Z40" s="110">
        <f t="shared" si="32"/>
        <v>0</v>
      </c>
      <c r="AA40" s="110">
        <f t="shared" si="32"/>
        <v>0</v>
      </c>
      <c r="AB40" s="110">
        <f t="shared" si="32"/>
        <v>0</v>
      </c>
      <c r="AC40" s="110">
        <f t="shared" si="32"/>
        <v>0</v>
      </c>
      <c r="AD40" s="110">
        <f t="shared" si="32"/>
        <v>0</v>
      </c>
      <c r="AE40" s="110">
        <f t="shared" si="32"/>
        <v>0</v>
      </c>
      <c r="AF40" s="110">
        <f t="shared" si="32"/>
        <v>0</v>
      </c>
      <c r="AG40" s="110">
        <f t="shared" si="32"/>
        <v>0</v>
      </c>
      <c r="AH40" s="110">
        <f t="shared" si="32"/>
        <v>0</v>
      </c>
      <c r="AI40" s="831">
        <f t="shared" si="32"/>
        <v>0</v>
      </c>
      <c r="AJ40" s="857">
        <f>A40</f>
        <v>0</v>
      </c>
      <c r="AK40" s="54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row>
    <row r="41" spans="1:87" s="118" customFormat="1" ht="17.25" customHeight="1">
      <c r="A41" s="863"/>
      <c r="B41" s="864"/>
      <c r="C41" s="865"/>
      <c r="D41" s="866"/>
      <c r="E41" s="1298"/>
      <c r="F41" s="867"/>
      <c r="G41" s="867"/>
      <c r="H41" s="867"/>
      <c r="I41" s="868"/>
      <c r="J41" s="867"/>
      <c r="K41" s="867"/>
      <c r="L41" s="867"/>
      <c r="M41" s="867"/>
      <c r="N41" s="868"/>
      <c r="O41" s="867"/>
      <c r="P41" s="867"/>
      <c r="Q41" s="867"/>
      <c r="R41" s="867"/>
      <c r="S41" s="867"/>
      <c r="T41" s="1283"/>
      <c r="U41" s="867"/>
      <c r="V41" s="867"/>
      <c r="W41" s="867"/>
      <c r="X41" s="867"/>
      <c r="Y41" s="868"/>
      <c r="Z41" s="867"/>
      <c r="AA41" s="867"/>
      <c r="AB41" s="867"/>
      <c r="AC41" s="867"/>
      <c r="AD41" s="867"/>
      <c r="AE41" s="867"/>
      <c r="AF41" s="867"/>
      <c r="AG41" s="867"/>
      <c r="AH41" s="867"/>
      <c r="AI41" s="868"/>
      <c r="AJ41" s="863"/>
      <c r="AK41" s="864"/>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row>
    <row r="42" spans="1:87" s="109" customFormat="1" ht="17.25" customHeight="1">
      <c r="A42" s="859" t="s">
        <v>631</v>
      </c>
      <c r="B42" s="860"/>
      <c r="C42" s="861"/>
      <c r="D42" s="862" t="s">
        <v>47</v>
      </c>
      <c r="E42" s="111"/>
      <c r="F42" s="111"/>
      <c r="G42" s="111"/>
      <c r="H42" s="111"/>
      <c r="I42" s="835"/>
      <c r="J42" s="111"/>
      <c r="K42" s="111"/>
      <c r="L42" s="111"/>
      <c r="M42" s="111"/>
      <c r="N42" s="835"/>
      <c r="O42" s="111"/>
      <c r="P42" s="111"/>
      <c r="Q42" s="111"/>
      <c r="R42" s="111"/>
      <c r="S42" s="111"/>
      <c r="T42" s="1277"/>
      <c r="U42" s="111"/>
      <c r="V42" s="111"/>
      <c r="W42" s="111"/>
      <c r="X42" s="111"/>
      <c r="Y42" s="835"/>
      <c r="Z42" s="111"/>
      <c r="AA42" s="111"/>
      <c r="AB42" s="111"/>
      <c r="AC42" s="111"/>
      <c r="AD42" s="111"/>
      <c r="AE42" s="111"/>
      <c r="AF42" s="111"/>
      <c r="AG42" s="111"/>
      <c r="AH42" s="111"/>
      <c r="AI42" s="835"/>
      <c r="AJ42" s="859" t="s">
        <v>631</v>
      </c>
      <c r="AK42" s="860"/>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row>
    <row r="43" spans="1:87" s="109" customFormat="1" ht="15.75">
      <c r="A43" s="1558">
        <f>'Sources and Uses'!A26</f>
        <v>0</v>
      </c>
      <c r="B43" s="1515"/>
      <c r="C43" s="535">
        <f>'Sources and Uses'!C26</f>
        <v>0</v>
      </c>
      <c r="D43" s="1290">
        <f>'Sources and Uses'!F26</f>
        <v>0</v>
      </c>
      <c r="E43" s="821">
        <f>-' Project Debt &amp; NOI'!$D$63</f>
        <v>0</v>
      </c>
      <c r="F43" s="251">
        <f>-' Project Debt &amp; NOI'!$D$63</f>
        <v>0</v>
      </c>
      <c r="G43" s="251">
        <f>-' Project Debt &amp; NOI'!$D$63</f>
        <v>0</v>
      </c>
      <c r="H43" s="251">
        <f>-' Project Debt &amp; NOI'!$D$63</f>
        <v>0</v>
      </c>
      <c r="I43" s="844">
        <f>-' Project Debt &amp; NOI'!$D$63</f>
        <v>0</v>
      </c>
      <c r="J43" s="551">
        <f>-' Project Debt &amp; NOI'!$D$63</f>
        <v>0</v>
      </c>
      <c r="K43" s="251">
        <f>-' Project Debt &amp; NOI'!$D$63</f>
        <v>0</v>
      </c>
      <c r="L43" s="251">
        <f>-' Project Debt &amp; NOI'!$D$63</f>
        <v>0</v>
      </c>
      <c r="M43" s="251">
        <f>-' Project Debt &amp; NOI'!$D$63</f>
        <v>0</v>
      </c>
      <c r="N43" s="844">
        <f>-' Project Debt &amp; NOI'!$D$63</f>
        <v>0</v>
      </c>
      <c r="O43" s="551">
        <f>-' Project Debt &amp; NOI'!$D$63</f>
        <v>0</v>
      </c>
      <c r="P43" s="251">
        <f>-' Project Debt &amp; NOI'!$D$63</f>
        <v>0</v>
      </c>
      <c r="Q43" s="251">
        <f>-' Project Debt &amp; NOI'!$D$63</f>
        <v>0</v>
      </c>
      <c r="R43" s="251">
        <f>-' Project Debt &amp; NOI'!$D$63</f>
        <v>0</v>
      </c>
      <c r="S43" s="902">
        <f>-' Project Debt &amp; NOI'!$D$63</f>
        <v>0</v>
      </c>
      <c r="T43" s="1284"/>
      <c r="U43" s="551">
        <f>-' Project Debt &amp; NOI'!$D$63</f>
        <v>0</v>
      </c>
      <c r="V43" s="251">
        <f>-' Project Debt &amp; NOI'!$D$63</f>
        <v>0</v>
      </c>
      <c r="W43" s="251">
        <f>-' Project Debt &amp; NOI'!$D$63</f>
        <v>0</v>
      </c>
      <c r="X43" s="251">
        <f>-' Project Debt &amp; NOI'!$D$63</f>
        <v>0</v>
      </c>
      <c r="Y43" s="844">
        <f>-' Project Debt &amp; NOI'!$D$63</f>
        <v>0</v>
      </c>
      <c r="Z43" s="551">
        <f>-' Project Debt &amp; NOI'!$D$63</f>
        <v>0</v>
      </c>
      <c r="AA43" s="251">
        <f>-' Project Debt &amp; NOI'!$D$63</f>
        <v>0</v>
      </c>
      <c r="AB43" s="251">
        <f>-' Project Debt &amp; NOI'!$D$63</f>
        <v>0</v>
      </c>
      <c r="AC43" s="251">
        <f>-' Project Debt &amp; NOI'!$D$63</f>
        <v>0</v>
      </c>
      <c r="AD43" s="251">
        <f>-' Project Debt &amp; NOI'!$D$63</f>
        <v>0</v>
      </c>
      <c r="AE43" s="251">
        <f>-' Project Debt &amp; NOI'!$D$63</f>
        <v>0</v>
      </c>
      <c r="AF43" s="251">
        <f>-' Project Debt &amp; NOI'!$D$63</f>
        <v>0</v>
      </c>
      <c r="AG43" s="251">
        <f>-' Project Debt &amp; NOI'!$D$63</f>
        <v>0</v>
      </c>
      <c r="AH43" s="251">
        <f>-' Project Debt &amp; NOI'!$D$63</f>
        <v>0</v>
      </c>
      <c r="AI43" s="844">
        <f>-' Project Debt &amp; NOI'!$D$63</f>
        <v>0</v>
      </c>
      <c r="AJ43" s="843">
        <f>A43</f>
        <v>0</v>
      </c>
      <c r="AK43" s="545"/>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row>
    <row r="44" spans="1:87" s="109" customFormat="1" ht="15.75">
      <c r="A44" s="1558">
        <f>'Sources and Uses'!A27</f>
        <v>0</v>
      </c>
      <c r="B44" s="1559"/>
      <c r="C44" s="535">
        <f>'Sources and Uses'!C27</f>
        <v>0</v>
      </c>
      <c r="D44" s="1290">
        <f>'Sources and Uses'!F27</f>
        <v>0</v>
      </c>
      <c r="E44" s="551">
        <f>-' Project Debt &amp; NOI'!$D$73</f>
        <v>0</v>
      </c>
      <c r="F44" s="251">
        <f>-' Project Debt &amp; NOI'!$D$73</f>
        <v>0</v>
      </c>
      <c r="G44" s="251">
        <f>-' Project Debt &amp; NOI'!$D$73</f>
        <v>0</v>
      </c>
      <c r="H44" s="251">
        <f>-' Project Debt &amp; NOI'!$D$73</f>
        <v>0</v>
      </c>
      <c r="I44" s="844">
        <f>-' Project Debt &amp; NOI'!$D$73</f>
        <v>0</v>
      </c>
      <c r="J44" s="551">
        <f>-' Project Debt &amp; NOI'!$D$73</f>
        <v>0</v>
      </c>
      <c r="K44" s="251">
        <f>-' Project Debt &amp; NOI'!$D$73</f>
        <v>0</v>
      </c>
      <c r="L44" s="251">
        <f>-' Project Debt &amp; NOI'!$D$73</f>
        <v>0</v>
      </c>
      <c r="M44" s="251">
        <f>-' Project Debt &amp; NOI'!$D$73</f>
        <v>0</v>
      </c>
      <c r="N44" s="844">
        <f>-' Project Debt &amp; NOI'!$D$73</f>
        <v>0</v>
      </c>
      <c r="O44" s="551">
        <f>-' Project Debt &amp; NOI'!$D$73</f>
        <v>0</v>
      </c>
      <c r="P44" s="251">
        <f>-' Project Debt &amp; NOI'!$D$73</f>
        <v>0</v>
      </c>
      <c r="Q44" s="251">
        <f>-' Project Debt &amp; NOI'!$D$73</f>
        <v>0</v>
      </c>
      <c r="R44" s="251">
        <f>-' Project Debt &amp; NOI'!$D$73</f>
        <v>0</v>
      </c>
      <c r="S44" s="902">
        <f>-' Project Debt &amp; NOI'!$D$73</f>
        <v>0</v>
      </c>
      <c r="T44" s="1284"/>
      <c r="U44" s="551">
        <f>-' Project Debt &amp; NOI'!$D$73</f>
        <v>0</v>
      </c>
      <c r="V44" s="251">
        <f>-' Project Debt &amp; NOI'!$D$73</f>
        <v>0</v>
      </c>
      <c r="W44" s="251">
        <f>-' Project Debt &amp; NOI'!$D$73</f>
        <v>0</v>
      </c>
      <c r="X44" s="251">
        <f>-' Project Debt &amp; NOI'!$D$73</f>
        <v>0</v>
      </c>
      <c r="Y44" s="844">
        <f>-' Project Debt &amp; NOI'!$D$73</f>
        <v>0</v>
      </c>
      <c r="Z44" s="551">
        <f>-' Project Debt &amp; NOI'!$D$73</f>
        <v>0</v>
      </c>
      <c r="AA44" s="251">
        <f>-' Project Debt &amp; NOI'!$D$73</f>
        <v>0</v>
      </c>
      <c r="AB44" s="251">
        <f>-' Project Debt &amp; NOI'!$D$73</f>
        <v>0</v>
      </c>
      <c r="AC44" s="251">
        <f>-' Project Debt &amp; NOI'!$D$73</f>
        <v>0</v>
      </c>
      <c r="AD44" s="251">
        <f>-' Project Debt &amp; NOI'!$D$73</f>
        <v>0</v>
      </c>
      <c r="AE44" s="251">
        <f>-' Project Debt &amp; NOI'!$D$73</f>
        <v>0</v>
      </c>
      <c r="AF44" s="251">
        <f>-' Project Debt &amp; NOI'!$D$73</f>
        <v>0</v>
      </c>
      <c r="AG44" s="251">
        <f>-' Project Debt &amp; NOI'!$D$73</f>
        <v>0</v>
      </c>
      <c r="AH44" s="251">
        <f>-' Project Debt &amp; NOI'!$D$73</f>
        <v>0</v>
      </c>
      <c r="AI44" s="844">
        <f>-' Project Debt &amp; NOI'!$D$73</f>
        <v>0</v>
      </c>
      <c r="AJ44" s="843">
        <f>A44</f>
        <v>0</v>
      </c>
      <c r="AK44" s="546"/>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row>
    <row r="45" spans="1:87" s="109" customFormat="1" ht="15.75">
      <c r="A45" s="1558">
        <f>'Sources and Uses'!A28</f>
        <v>0</v>
      </c>
      <c r="B45" s="1559"/>
      <c r="C45" s="535">
        <f>'Sources and Uses'!C28</f>
        <v>0</v>
      </c>
      <c r="D45" s="1290">
        <f>'Sources and Uses'!F28</f>
        <v>0</v>
      </c>
      <c r="E45" s="551">
        <f>-' Project Debt &amp; NOI'!$D$83</f>
        <v>0</v>
      </c>
      <c r="F45" s="251">
        <f>-' Project Debt &amp; NOI'!$D$83</f>
        <v>0</v>
      </c>
      <c r="G45" s="251">
        <f>-' Project Debt &amp; NOI'!$D$83</f>
        <v>0</v>
      </c>
      <c r="H45" s="251">
        <f>-' Project Debt &amp; NOI'!$D$83</f>
        <v>0</v>
      </c>
      <c r="I45" s="844">
        <f>-' Project Debt &amp; NOI'!$D$83</f>
        <v>0</v>
      </c>
      <c r="J45" s="551">
        <f>-' Project Debt &amp; NOI'!$D$83</f>
        <v>0</v>
      </c>
      <c r="K45" s="251">
        <f>-' Project Debt &amp; NOI'!$D$83</f>
        <v>0</v>
      </c>
      <c r="L45" s="251">
        <f>-' Project Debt &amp; NOI'!$D$83</f>
        <v>0</v>
      </c>
      <c r="M45" s="251">
        <f>-' Project Debt &amp; NOI'!$D$83</f>
        <v>0</v>
      </c>
      <c r="N45" s="844">
        <f>-' Project Debt &amp; NOI'!$D$83</f>
        <v>0</v>
      </c>
      <c r="O45" s="551">
        <f>-' Project Debt &amp; NOI'!$D$83</f>
        <v>0</v>
      </c>
      <c r="P45" s="251">
        <f>-' Project Debt &amp; NOI'!$D$83</f>
        <v>0</v>
      </c>
      <c r="Q45" s="251">
        <f>-' Project Debt &amp; NOI'!$D$83</f>
        <v>0</v>
      </c>
      <c r="R45" s="251">
        <f>-' Project Debt &amp; NOI'!$D$83</f>
        <v>0</v>
      </c>
      <c r="S45" s="902">
        <f>-' Project Debt &amp; NOI'!$D$83</f>
        <v>0</v>
      </c>
      <c r="T45" s="1284"/>
      <c r="U45" s="551">
        <f>-' Project Debt &amp; NOI'!$D$83</f>
        <v>0</v>
      </c>
      <c r="V45" s="251">
        <f>-' Project Debt &amp; NOI'!$D$83</f>
        <v>0</v>
      </c>
      <c r="W45" s="251">
        <f>-' Project Debt &amp; NOI'!$D$83</f>
        <v>0</v>
      </c>
      <c r="X45" s="251">
        <f>-' Project Debt &amp; NOI'!$D$83</f>
        <v>0</v>
      </c>
      <c r="Y45" s="844">
        <f>-' Project Debt &amp; NOI'!$D$83</f>
        <v>0</v>
      </c>
      <c r="Z45" s="551">
        <f>-' Project Debt &amp; NOI'!$D$83</f>
        <v>0</v>
      </c>
      <c r="AA45" s="251">
        <f>-' Project Debt &amp; NOI'!$D$83</f>
        <v>0</v>
      </c>
      <c r="AB45" s="251">
        <f>-' Project Debt &amp; NOI'!$D$83</f>
        <v>0</v>
      </c>
      <c r="AC45" s="251">
        <f>-' Project Debt &amp; NOI'!$D$83</f>
        <v>0</v>
      </c>
      <c r="AD45" s="251">
        <f>-' Project Debt &amp; NOI'!$D$83</f>
        <v>0</v>
      </c>
      <c r="AE45" s="251">
        <f>-' Project Debt &amp; NOI'!$D$83</f>
        <v>0</v>
      </c>
      <c r="AF45" s="251">
        <f>-' Project Debt &amp; NOI'!$D$83</f>
        <v>0</v>
      </c>
      <c r="AG45" s="251">
        <f>-' Project Debt &amp; NOI'!$D$83</f>
        <v>0</v>
      </c>
      <c r="AH45" s="251">
        <f>-' Project Debt &amp; NOI'!$D$83</f>
        <v>0</v>
      </c>
      <c r="AI45" s="844">
        <f>-' Project Debt &amp; NOI'!$D$83</f>
        <v>0</v>
      </c>
      <c r="AJ45" s="843">
        <f>A45</f>
        <v>0</v>
      </c>
      <c r="AK45" s="546"/>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row>
    <row r="46" spans="1:87" s="109" customFormat="1" ht="15.75">
      <c r="A46" s="1560">
        <f>'Sources and Uses'!A29</f>
        <v>0</v>
      </c>
      <c r="B46" s="1561"/>
      <c r="C46" s="554">
        <f>'Sources and Uses'!C29</f>
        <v>0</v>
      </c>
      <c r="D46" s="1291">
        <f>'Sources and Uses'!F29</f>
        <v>0</v>
      </c>
      <c r="E46" s="556">
        <f>-' Project Debt &amp; NOI'!$D$93</f>
        <v>0</v>
      </c>
      <c r="F46" s="555">
        <f>-' Project Debt &amp; NOI'!$D$93</f>
        <v>0</v>
      </c>
      <c r="G46" s="555">
        <f>-' Project Debt &amp; NOI'!$D$93</f>
        <v>0</v>
      </c>
      <c r="H46" s="555">
        <f>-' Project Debt &amp; NOI'!$D$93</f>
        <v>0</v>
      </c>
      <c r="I46" s="869">
        <f>-' Project Debt &amp; NOI'!$D$93</f>
        <v>0</v>
      </c>
      <c r="J46" s="556">
        <f>-' Project Debt &amp; NOI'!$D$93</f>
        <v>0</v>
      </c>
      <c r="K46" s="555">
        <f>-' Project Debt &amp; NOI'!$D$93</f>
        <v>0</v>
      </c>
      <c r="L46" s="555">
        <f>-' Project Debt &amp; NOI'!$D$93</f>
        <v>0</v>
      </c>
      <c r="M46" s="555">
        <f>-' Project Debt &amp; NOI'!$D$93</f>
        <v>0</v>
      </c>
      <c r="N46" s="869">
        <f>-' Project Debt &amp; NOI'!$D$93</f>
        <v>0</v>
      </c>
      <c r="O46" s="556">
        <f>-' Project Debt &amp; NOI'!$D$93</f>
        <v>0</v>
      </c>
      <c r="P46" s="555">
        <f>-' Project Debt &amp; NOI'!$D$93</f>
        <v>0</v>
      </c>
      <c r="Q46" s="555">
        <f>-' Project Debt &amp; NOI'!$D$93</f>
        <v>0</v>
      </c>
      <c r="R46" s="555">
        <f>-' Project Debt &amp; NOI'!$D$93</f>
        <v>0</v>
      </c>
      <c r="S46" s="903">
        <f>-' Project Debt &amp; NOI'!$D$93</f>
        <v>0</v>
      </c>
      <c r="T46" s="1285"/>
      <c r="U46" s="556">
        <f>-' Project Debt &amp; NOI'!$D$93</f>
        <v>0</v>
      </c>
      <c r="V46" s="555">
        <f>-' Project Debt &amp; NOI'!$D$93</f>
        <v>0</v>
      </c>
      <c r="W46" s="555">
        <f>-' Project Debt &amp; NOI'!$D$93</f>
        <v>0</v>
      </c>
      <c r="X46" s="555">
        <f>-' Project Debt &amp; NOI'!$D$93</f>
        <v>0</v>
      </c>
      <c r="Y46" s="869">
        <f>-' Project Debt &amp; NOI'!$D$93</f>
        <v>0</v>
      </c>
      <c r="Z46" s="556">
        <f>-' Project Debt &amp; NOI'!$D$93</f>
        <v>0</v>
      </c>
      <c r="AA46" s="555">
        <f>-' Project Debt &amp; NOI'!$D$93</f>
        <v>0</v>
      </c>
      <c r="AB46" s="555">
        <f>-' Project Debt &amp; NOI'!$D$93</f>
        <v>0</v>
      </c>
      <c r="AC46" s="555">
        <f>-' Project Debt &amp; NOI'!$D$93</f>
        <v>0</v>
      </c>
      <c r="AD46" s="555">
        <f>-' Project Debt &amp; NOI'!$D$93</f>
        <v>0</v>
      </c>
      <c r="AE46" s="555">
        <f>-' Project Debt &amp; NOI'!$D$93</f>
        <v>0</v>
      </c>
      <c r="AF46" s="555">
        <f>-' Project Debt &amp; NOI'!$D$93</f>
        <v>0</v>
      </c>
      <c r="AG46" s="555">
        <f>-' Project Debt &amp; NOI'!$D$93</f>
        <v>0</v>
      </c>
      <c r="AH46" s="555">
        <f>-' Project Debt &amp; NOI'!$D$93</f>
        <v>0</v>
      </c>
      <c r="AI46" s="869">
        <f>-' Project Debt &amp; NOI'!$D$93</f>
        <v>0</v>
      </c>
      <c r="AJ46" s="843">
        <f>A46</f>
        <v>0</v>
      </c>
      <c r="AK46" s="553"/>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row>
    <row r="47" spans="1:87" s="118" customFormat="1" ht="17.25" customHeight="1">
      <c r="A47" s="872"/>
      <c r="B47" s="867"/>
      <c r="C47" s="867"/>
      <c r="D47" s="873"/>
      <c r="E47" s="867"/>
      <c r="F47" s="867"/>
      <c r="G47" s="867"/>
      <c r="H47" s="867"/>
      <c r="I47" s="868"/>
      <c r="J47" s="867"/>
      <c r="K47" s="867"/>
      <c r="L47" s="867"/>
      <c r="M47" s="867"/>
      <c r="N47" s="868"/>
      <c r="O47" s="867"/>
      <c r="P47" s="867"/>
      <c r="Q47" s="867"/>
      <c r="R47" s="867"/>
      <c r="S47" s="867"/>
      <c r="T47" s="1283"/>
      <c r="U47" s="867"/>
      <c r="V47" s="867"/>
      <c r="W47" s="867"/>
      <c r="X47" s="867"/>
      <c r="Y47" s="868"/>
      <c r="Z47" s="867"/>
      <c r="AA47" s="867"/>
      <c r="AB47" s="867"/>
      <c r="AC47" s="867"/>
      <c r="AD47" s="867"/>
      <c r="AE47" s="867"/>
      <c r="AF47" s="867"/>
      <c r="AG47" s="867"/>
      <c r="AH47" s="867"/>
      <c r="AI47" s="868"/>
      <c r="AJ47" s="872"/>
      <c r="AK47" s="867"/>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row>
    <row r="48" spans="1:87" s="119" customFormat="1" ht="17.25" customHeight="1">
      <c r="A48" s="893" t="s">
        <v>172</v>
      </c>
      <c r="B48" s="870"/>
      <c r="C48" s="1297"/>
      <c r="D48" s="871"/>
      <c r="E48" s="891">
        <f>SUM(E37,E40,E43,E44,E45,E46)</f>
        <v>0</v>
      </c>
      <c r="F48" s="891">
        <f t="shared" ref="F48:AI48" si="33">SUM(F37,F40,F43,F44,F45,F46)</f>
        <v>0</v>
      </c>
      <c r="G48" s="891">
        <f t="shared" si="33"/>
        <v>0</v>
      </c>
      <c r="H48" s="891">
        <f t="shared" si="33"/>
        <v>0</v>
      </c>
      <c r="I48" s="892">
        <f t="shared" si="33"/>
        <v>0</v>
      </c>
      <c r="J48" s="891">
        <f t="shared" si="33"/>
        <v>0</v>
      </c>
      <c r="K48" s="891">
        <f t="shared" si="33"/>
        <v>0</v>
      </c>
      <c r="L48" s="891">
        <f t="shared" si="33"/>
        <v>0</v>
      </c>
      <c r="M48" s="891">
        <f t="shared" si="33"/>
        <v>0</v>
      </c>
      <c r="N48" s="892">
        <f t="shared" si="33"/>
        <v>0</v>
      </c>
      <c r="O48" s="891">
        <f t="shared" si="33"/>
        <v>0</v>
      </c>
      <c r="P48" s="891">
        <f t="shared" si="33"/>
        <v>0</v>
      </c>
      <c r="Q48" s="891">
        <f t="shared" si="33"/>
        <v>0</v>
      </c>
      <c r="R48" s="891">
        <f t="shared" si="33"/>
        <v>0</v>
      </c>
      <c r="S48" s="891">
        <f t="shared" si="33"/>
        <v>0</v>
      </c>
      <c r="T48" s="1282">
        <f>SUM(E48:S48)</f>
        <v>0</v>
      </c>
      <c r="U48" s="891">
        <f>SUM(U37,U40,U43,U44,U45,U46)</f>
        <v>0</v>
      </c>
      <c r="V48" s="891">
        <f t="shared" si="33"/>
        <v>0</v>
      </c>
      <c r="W48" s="891">
        <f t="shared" si="33"/>
        <v>0</v>
      </c>
      <c r="X48" s="891">
        <f t="shared" si="33"/>
        <v>0</v>
      </c>
      <c r="Y48" s="892">
        <f t="shared" si="33"/>
        <v>0</v>
      </c>
      <c r="Z48" s="891">
        <f t="shared" si="33"/>
        <v>0</v>
      </c>
      <c r="AA48" s="891">
        <f t="shared" si="33"/>
        <v>0</v>
      </c>
      <c r="AB48" s="891">
        <f t="shared" si="33"/>
        <v>0</v>
      </c>
      <c r="AC48" s="891">
        <f t="shared" si="33"/>
        <v>0</v>
      </c>
      <c r="AD48" s="891">
        <f t="shared" si="33"/>
        <v>0</v>
      </c>
      <c r="AE48" s="891">
        <f t="shared" si="33"/>
        <v>0</v>
      </c>
      <c r="AF48" s="891">
        <f t="shared" si="33"/>
        <v>0</v>
      </c>
      <c r="AG48" s="891">
        <f t="shared" si="33"/>
        <v>0</v>
      </c>
      <c r="AH48" s="891">
        <f t="shared" si="33"/>
        <v>0</v>
      </c>
      <c r="AI48" s="892">
        <f t="shared" si="33"/>
        <v>0</v>
      </c>
      <c r="AJ48" s="893" t="s">
        <v>172</v>
      </c>
      <c r="AK48" s="870"/>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row>
    <row r="49" spans="1:87" s="119" customFormat="1" ht="17.25" customHeight="1">
      <c r="A49" s="874"/>
      <c r="B49" s="1273" t="s">
        <v>218</v>
      </c>
      <c r="C49" s="894">
        <f>SUM(E48:S48)</f>
        <v>0</v>
      </c>
      <c r="D49" s="876"/>
      <c r="E49" s="111"/>
      <c r="F49" s="111"/>
      <c r="G49" s="111"/>
      <c r="H49" s="111"/>
      <c r="I49" s="835"/>
      <c r="J49" s="111"/>
      <c r="K49" s="111"/>
      <c r="L49" s="111"/>
      <c r="M49" s="111"/>
      <c r="N49" s="835"/>
      <c r="O49" s="111"/>
      <c r="P49" s="111"/>
      <c r="Q49" s="111"/>
      <c r="R49" s="111"/>
      <c r="S49" s="111"/>
      <c r="T49" s="1277"/>
      <c r="U49" s="111"/>
      <c r="V49" s="111"/>
      <c r="W49" s="111"/>
      <c r="X49" s="111"/>
      <c r="Y49" s="835"/>
      <c r="Z49" s="111"/>
      <c r="AA49" s="111"/>
      <c r="AB49" s="111"/>
      <c r="AC49" s="111"/>
      <c r="AD49" s="111"/>
      <c r="AE49" s="111"/>
      <c r="AF49" s="111"/>
      <c r="AG49" s="111"/>
      <c r="AH49" s="111"/>
      <c r="AI49" s="835"/>
      <c r="AJ49" s="875" t="s">
        <v>218</v>
      </c>
      <c r="AK49" s="875">
        <f>C49</f>
        <v>0</v>
      </c>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row>
    <row r="50" spans="1:87" s="118" customFormat="1" ht="17.25" customHeight="1">
      <c r="A50" s="877"/>
      <c r="B50" s="878"/>
      <c r="C50" s="879"/>
      <c r="D50" s="880"/>
      <c r="E50" s="881"/>
      <c r="F50" s="881"/>
      <c r="G50" s="881"/>
      <c r="H50" s="881"/>
      <c r="I50" s="882"/>
      <c r="J50" s="881"/>
      <c r="K50" s="881"/>
      <c r="L50" s="881"/>
      <c r="M50" s="881"/>
      <c r="N50" s="882"/>
      <c r="O50" s="881"/>
      <c r="P50" s="881"/>
      <c r="Q50" s="881"/>
      <c r="R50" s="881"/>
      <c r="S50" s="881"/>
      <c r="T50" s="1286"/>
      <c r="U50" s="881"/>
      <c r="V50" s="881"/>
      <c r="W50" s="881"/>
      <c r="X50" s="881"/>
      <c r="Y50" s="882"/>
      <c r="Z50" s="881"/>
      <c r="AA50" s="881"/>
      <c r="AB50" s="881"/>
      <c r="AC50" s="881"/>
      <c r="AD50" s="881"/>
      <c r="AE50" s="881"/>
      <c r="AF50" s="881"/>
      <c r="AG50" s="881"/>
      <c r="AH50" s="881"/>
      <c r="AI50" s="882"/>
      <c r="AJ50" s="877"/>
      <c r="AK50" s="878"/>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row>
    <row r="51" spans="1:87" s="114" customFormat="1" ht="19.5" customHeight="1">
      <c r="A51" s="883"/>
      <c r="B51" s="884"/>
      <c r="C51" s="909"/>
      <c r="D51" s="910" t="s">
        <v>628</v>
      </c>
      <c r="E51" s="885" t="e">
        <f t="shared" ref="E51:S51" si="34">(-E27/(E36+E40+E43+E44+E45+E46))</f>
        <v>#DIV/0!</v>
      </c>
      <c r="F51" s="885" t="e">
        <f t="shared" si="34"/>
        <v>#DIV/0!</v>
      </c>
      <c r="G51" s="885" t="e">
        <f t="shared" si="34"/>
        <v>#DIV/0!</v>
      </c>
      <c r="H51" s="885" t="e">
        <f t="shared" si="34"/>
        <v>#DIV/0!</v>
      </c>
      <c r="I51" s="886" t="e">
        <f t="shared" si="34"/>
        <v>#DIV/0!</v>
      </c>
      <c r="J51" s="885" t="e">
        <f t="shared" si="34"/>
        <v>#DIV/0!</v>
      </c>
      <c r="K51" s="885" t="e">
        <f t="shared" si="34"/>
        <v>#DIV/0!</v>
      </c>
      <c r="L51" s="885" t="e">
        <f t="shared" si="34"/>
        <v>#DIV/0!</v>
      </c>
      <c r="M51" s="885" t="e">
        <f t="shared" si="34"/>
        <v>#DIV/0!</v>
      </c>
      <c r="N51" s="886" t="e">
        <f t="shared" si="34"/>
        <v>#DIV/0!</v>
      </c>
      <c r="O51" s="885" t="e">
        <f t="shared" si="34"/>
        <v>#DIV/0!</v>
      </c>
      <c r="P51" s="885" t="e">
        <f t="shared" si="34"/>
        <v>#DIV/0!</v>
      </c>
      <c r="Q51" s="885" t="e">
        <f t="shared" si="34"/>
        <v>#DIV/0!</v>
      </c>
      <c r="R51" s="885" t="e">
        <f t="shared" si="34"/>
        <v>#DIV/0!</v>
      </c>
      <c r="S51" s="885" t="e">
        <f t="shared" si="34"/>
        <v>#DIV/0!</v>
      </c>
      <c r="T51" s="1287"/>
      <c r="U51" s="885" t="e">
        <f t="shared" ref="U51:AI51" si="35">(-U27/(U36+U40+U43+U44+U45+U46))</f>
        <v>#DIV/0!</v>
      </c>
      <c r="V51" s="885" t="e">
        <f t="shared" si="35"/>
        <v>#DIV/0!</v>
      </c>
      <c r="W51" s="885" t="e">
        <f t="shared" si="35"/>
        <v>#DIV/0!</v>
      </c>
      <c r="X51" s="885" t="e">
        <f t="shared" si="35"/>
        <v>#DIV/0!</v>
      </c>
      <c r="Y51" s="886" t="e">
        <f t="shared" si="35"/>
        <v>#DIV/0!</v>
      </c>
      <c r="Z51" s="885" t="e">
        <f t="shared" si="35"/>
        <v>#DIV/0!</v>
      </c>
      <c r="AA51" s="885" t="e">
        <f t="shared" si="35"/>
        <v>#DIV/0!</v>
      </c>
      <c r="AB51" s="885" t="e">
        <f t="shared" si="35"/>
        <v>#DIV/0!</v>
      </c>
      <c r="AC51" s="885" t="e">
        <f t="shared" si="35"/>
        <v>#DIV/0!</v>
      </c>
      <c r="AD51" s="885" t="e">
        <f t="shared" si="35"/>
        <v>#DIV/0!</v>
      </c>
      <c r="AE51" s="885" t="e">
        <f t="shared" si="35"/>
        <v>#DIV/0!</v>
      </c>
      <c r="AF51" s="885" t="e">
        <f t="shared" si="35"/>
        <v>#DIV/0!</v>
      </c>
      <c r="AG51" s="885" t="e">
        <f t="shared" si="35"/>
        <v>#DIV/0!</v>
      </c>
      <c r="AH51" s="885" t="e">
        <f t="shared" si="35"/>
        <v>#DIV/0!</v>
      </c>
      <c r="AI51" s="886" t="e">
        <f t="shared" si="35"/>
        <v>#DIV/0!</v>
      </c>
      <c r="AJ51" s="914" t="s">
        <v>628</v>
      </c>
      <c r="AK51" s="884"/>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row>
    <row r="52" spans="1:87" s="114" customFormat="1" ht="17.25" customHeight="1">
      <c r="A52" s="887"/>
      <c r="B52" s="888"/>
      <c r="C52" s="911"/>
      <c r="D52" s="912" t="s">
        <v>97</v>
      </c>
      <c r="E52" s="889" t="str">
        <f>IF(E40=0," ",E37/-(E40+E43+E44+E45+E46))</f>
        <v xml:space="preserve"> </v>
      </c>
      <c r="F52" s="889" t="str">
        <f t="shared" ref="F52:AI52" si="36">IF(F40=0," ",F37/-(F40+F43+F44+F45+F46))</f>
        <v xml:space="preserve"> </v>
      </c>
      <c r="G52" s="889" t="str">
        <f t="shared" si="36"/>
        <v xml:space="preserve"> </v>
      </c>
      <c r="H52" s="889" t="str">
        <f t="shared" si="36"/>
        <v xml:space="preserve"> </v>
      </c>
      <c r="I52" s="890" t="str">
        <f t="shared" si="36"/>
        <v xml:space="preserve"> </v>
      </c>
      <c r="J52" s="889" t="str">
        <f t="shared" si="36"/>
        <v xml:space="preserve"> </v>
      </c>
      <c r="K52" s="889" t="str">
        <f t="shared" si="36"/>
        <v xml:space="preserve"> </v>
      </c>
      <c r="L52" s="889" t="str">
        <f t="shared" si="36"/>
        <v xml:space="preserve"> </v>
      </c>
      <c r="M52" s="889" t="str">
        <f t="shared" si="36"/>
        <v xml:space="preserve"> </v>
      </c>
      <c r="N52" s="890" t="str">
        <f t="shared" si="36"/>
        <v xml:space="preserve"> </v>
      </c>
      <c r="O52" s="889" t="str">
        <f t="shared" si="36"/>
        <v xml:space="preserve"> </v>
      </c>
      <c r="P52" s="889" t="str">
        <f t="shared" si="36"/>
        <v xml:space="preserve"> </v>
      </c>
      <c r="Q52" s="889" t="str">
        <f t="shared" si="36"/>
        <v xml:space="preserve"> </v>
      </c>
      <c r="R52" s="889" t="str">
        <f t="shared" si="36"/>
        <v xml:space="preserve"> </v>
      </c>
      <c r="S52" s="889" t="str">
        <f t="shared" si="36"/>
        <v xml:space="preserve"> </v>
      </c>
      <c r="T52" s="1288"/>
      <c r="U52" s="889" t="str">
        <f t="shared" si="36"/>
        <v xml:space="preserve"> </v>
      </c>
      <c r="V52" s="889" t="str">
        <f t="shared" si="36"/>
        <v xml:space="preserve"> </v>
      </c>
      <c r="W52" s="889" t="str">
        <f t="shared" si="36"/>
        <v xml:space="preserve"> </v>
      </c>
      <c r="X52" s="889" t="str">
        <f t="shared" si="36"/>
        <v xml:space="preserve"> </v>
      </c>
      <c r="Y52" s="890" t="str">
        <f t="shared" si="36"/>
        <v xml:space="preserve"> </v>
      </c>
      <c r="Z52" s="889" t="str">
        <f t="shared" si="36"/>
        <v xml:space="preserve"> </v>
      </c>
      <c r="AA52" s="889" t="str">
        <f t="shared" si="36"/>
        <v xml:space="preserve"> </v>
      </c>
      <c r="AB52" s="889" t="str">
        <f t="shared" si="36"/>
        <v xml:space="preserve"> </v>
      </c>
      <c r="AC52" s="889" t="str">
        <f t="shared" si="36"/>
        <v xml:space="preserve"> </v>
      </c>
      <c r="AD52" s="889" t="str">
        <f t="shared" si="36"/>
        <v xml:space="preserve"> </v>
      </c>
      <c r="AE52" s="889" t="str">
        <f t="shared" si="36"/>
        <v xml:space="preserve"> </v>
      </c>
      <c r="AF52" s="889" t="str">
        <f t="shared" si="36"/>
        <v xml:space="preserve"> </v>
      </c>
      <c r="AG52" s="889" t="str">
        <f t="shared" si="36"/>
        <v xml:space="preserve"> </v>
      </c>
      <c r="AH52" s="889" t="str">
        <f t="shared" si="36"/>
        <v xml:space="preserve"> </v>
      </c>
      <c r="AI52" s="890" t="str">
        <f t="shared" si="36"/>
        <v xml:space="preserve"> </v>
      </c>
      <c r="AJ52" s="915" t="s">
        <v>97</v>
      </c>
      <c r="AK52" s="888"/>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row>
    <row r="53" spans="1:87" s="118" customFormat="1" ht="17.25" customHeight="1">
      <c r="A53" s="895" t="s">
        <v>34</v>
      </c>
      <c r="B53" s="896"/>
      <c r="C53" s="896"/>
      <c r="D53" s="898"/>
      <c r="E53" s="1299" t="s">
        <v>22</v>
      </c>
      <c r="F53" s="1299" t="s">
        <v>23</v>
      </c>
      <c r="G53" s="1299" t="s">
        <v>24</v>
      </c>
      <c r="H53" s="1299" t="s">
        <v>25</v>
      </c>
      <c r="I53" s="1300" t="s">
        <v>26</v>
      </c>
      <c r="J53" s="1299" t="s">
        <v>27</v>
      </c>
      <c r="K53" s="1299" t="s">
        <v>28</v>
      </c>
      <c r="L53" s="1299" t="s">
        <v>29</v>
      </c>
      <c r="M53" s="1299" t="s">
        <v>30</v>
      </c>
      <c r="N53" s="1300" t="s">
        <v>31</v>
      </c>
      <c r="O53" s="1299" t="s">
        <v>35</v>
      </c>
      <c r="P53" s="1299" t="s">
        <v>36</v>
      </c>
      <c r="Q53" s="1299" t="s">
        <v>66</v>
      </c>
      <c r="R53" s="1299" t="s">
        <v>67</v>
      </c>
      <c r="S53" s="1299" t="s">
        <v>68</v>
      </c>
      <c r="T53" s="1302" t="s">
        <v>753</v>
      </c>
      <c r="U53" s="1299" t="s">
        <v>70</v>
      </c>
      <c r="V53" s="1299" t="s">
        <v>71</v>
      </c>
      <c r="W53" s="1299" t="s">
        <v>72</v>
      </c>
      <c r="X53" s="1299" t="s">
        <v>73</v>
      </c>
      <c r="Y53" s="1300" t="s">
        <v>74</v>
      </c>
      <c r="Z53" s="1299" t="s">
        <v>75</v>
      </c>
      <c r="AA53" s="1299" t="s">
        <v>76</v>
      </c>
      <c r="AB53" s="1299" t="s">
        <v>77</v>
      </c>
      <c r="AC53" s="1299" t="s">
        <v>78</v>
      </c>
      <c r="AD53" s="1299" t="s">
        <v>79</v>
      </c>
      <c r="AE53" s="1299" t="s">
        <v>80</v>
      </c>
      <c r="AF53" s="1299" t="s">
        <v>81</v>
      </c>
      <c r="AG53" s="1299" t="s">
        <v>82</v>
      </c>
      <c r="AH53" s="1299" t="s">
        <v>83</v>
      </c>
      <c r="AI53" s="1300" t="s">
        <v>84</v>
      </c>
      <c r="AJ53" s="895" t="s">
        <v>34</v>
      </c>
      <c r="AK53" s="896"/>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row>
    <row r="54" spans="1:87" s="109" customFormat="1" ht="17.25" customHeight="1">
      <c r="A54" s="630"/>
      <c r="B54" s="1307"/>
      <c r="C54" s="1307"/>
      <c r="D54" s="1307"/>
      <c r="E54" s="1352"/>
      <c r="F54" s="1350"/>
      <c r="G54" s="1351"/>
      <c r="H54" s="1351"/>
      <c r="I54" s="1306"/>
      <c r="J54" s="1351"/>
      <c r="K54" s="1351"/>
      <c r="L54" s="121"/>
      <c r="M54" s="121"/>
      <c r="N54" s="1306"/>
      <c r="O54" s="121"/>
      <c r="P54" s="121"/>
      <c r="Q54" s="121"/>
      <c r="R54" s="121"/>
      <c r="S54" s="121"/>
      <c r="T54" s="1306"/>
      <c r="U54" s="121"/>
      <c r="V54" s="121"/>
      <c r="W54" s="121"/>
      <c r="X54" s="121"/>
      <c r="Y54" s="1306"/>
      <c r="Z54" s="121"/>
      <c r="AA54" s="121"/>
      <c r="AD54" s="1353"/>
      <c r="AJ54" s="1354"/>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row>
    <row r="55" spans="1:87" s="109" customFormat="1" ht="17.25" customHeight="1">
      <c r="A55" s="630"/>
      <c r="B55" s="101"/>
      <c r="C55" s="101"/>
      <c r="D55" s="101"/>
      <c r="E55" s="120"/>
      <c r="F55" s="120"/>
      <c r="G55" s="121"/>
      <c r="H55" s="121"/>
      <c r="I55" s="121"/>
      <c r="J55" s="121"/>
      <c r="K55" s="121"/>
      <c r="L55" s="121"/>
      <c r="M55" s="121"/>
      <c r="N55" s="121"/>
      <c r="O55" s="121"/>
      <c r="P55" s="121"/>
      <c r="Q55" s="121"/>
      <c r="R55" s="121"/>
      <c r="S55" s="121"/>
      <c r="T55" s="121"/>
      <c r="U55" s="121"/>
      <c r="V55" s="121"/>
      <c r="W55" s="121"/>
      <c r="X55" s="121"/>
      <c r="Y55" s="121"/>
      <c r="Z55" s="121"/>
      <c r="AA55" s="121"/>
      <c r="AJ55" s="118"/>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row>
    <row r="56" spans="1:87" s="109" customFormat="1" ht="17.25" customHeight="1">
      <c r="A56" s="101"/>
      <c r="B56" s="101"/>
      <c r="C56" s="101"/>
      <c r="D56" s="101"/>
      <c r="E56" s="120"/>
      <c r="F56" s="120"/>
      <c r="G56" s="121"/>
      <c r="H56" s="121"/>
      <c r="I56" s="121"/>
      <c r="J56" s="121"/>
      <c r="K56" s="121"/>
      <c r="L56" s="121"/>
      <c r="M56" s="121"/>
      <c r="N56" s="121"/>
      <c r="O56" s="121"/>
      <c r="P56" s="121"/>
      <c r="Q56" s="121"/>
      <c r="R56" s="121"/>
      <c r="S56" s="121"/>
      <c r="T56" s="121"/>
      <c r="U56" s="121"/>
      <c r="V56" s="121"/>
      <c r="W56" s="121"/>
      <c r="X56" s="121"/>
      <c r="Y56" s="121"/>
      <c r="Z56" s="121"/>
      <c r="AA56" s="121"/>
      <c r="AJ56" s="118"/>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row>
    <row r="57" spans="1:87" s="109" customFormat="1" ht="17.25" customHeight="1">
      <c r="A57" s="101"/>
      <c r="B57" s="101"/>
      <c r="C57" s="101"/>
      <c r="D57" s="101"/>
      <c r="E57" s="120"/>
      <c r="F57" s="120"/>
      <c r="G57" s="121"/>
      <c r="H57" s="121"/>
      <c r="I57" s="121"/>
      <c r="J57" s="121"/>
      <c r="K57" s="121"/>
      <c r="L57" s="121"/>
      <c r="M57" s="121"/>
      <c r="N57" s="121"/>
      <c r="O57" s="121"/>
      <c r="P57" s="121"/>
      <c r="Q57" s="121"/>
      <c r="R57" s="121"/>
      <c r="S57" s="121"/>
      <c r="T57" s="121"/>
      <c r="U57" s="121"/>
      <c r="V57" s="121"/>
      <c r="W57" s="121"/>
      <c r="X57" s="121"/>
      <c r="Y57" s="121"/>
      <c r="Z57" s="121"/>
      <c r="AA57" s="121"/>
      <c r="AJ57" s="118"/>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row>
    <row r="58" spans="1:87" s="109" customFormat="1" ht="17.25" customHeight="1">
      <c r="A58" s="101"/>
      <c r="B58" s="101"/>
      <c r="C58" s="101"/>
      <c r="D58" s="101"/>
      <c r="E58" s="120"/>
      <c r="F58" s="120"/>
      <c r="G58" s="121"/>
      <c r="H58" s="121"/>
      <c r="I58" s="121"/>
      <c r="J58" s="121"/>
      <c r="K58" s="121"/>
      <c r="L58" s="121"/>
      <c r="M58" s="121"/>
      <c r="N58" s="121"/>
      <c r="O58" s="121"/>
      <c r="P58" s="121"/>
      <c r="Q58" s="121"/>
      <c r="R58" s="121"/>
      <c r="S58" s="121"/>
      <c r="T58" s="121"/>
      <c r="U58" s="121"/>
      <c r="V58" s="121"/>
      <c r="W58" s="121"/>
      <c r="X58" s="121"/>
      <c r="Y58" s="121"/>
      <c r="Z58" s="121"/>
      <c r="AA58" s="121"/>
      <c r="AJ58" s="118"/>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row>
    <row r="59" spans="1:87" s="109" customFormat="1" ht="17.25" customHeight="1">
      <c r="A59" s="101"/>
      <c r="B59" s="101"/>
      <c r="C59" s="101"/>
      <c r="D59" s="101"/>
      <c r="E59" s="120"/>
      <c r="F59" s="120"/>
      <c r="G59" s="121"/>
      <c r="H59" s="121"/>
      <c r="I59" s="121"/>
      <c r="J59" s="121"/>
      <c r="K59" s="121"/>
      <c r="L59" s="121"/>
      <c r="M59" s="121"/>
      <c r="N59" s="121"/>
      <c r="O59" s="121"/>
      <c r="P59" s="121"/>
      <c r="Q59" s="121"/>
      <c r="R59" s="121"/>
      <c r="S59" s="121"/>
      <c r="T59" s="121"/>
      <c r="U59" s="121"/>
      <c r="V59" s="121"/>
      <c r="W59" s="121"/>
      <c r="X59" s="121"/>
      <c r="Y59" s="121"/>
      <c r="Z59" s="121"/>
      <c r="AA59" s="121"/>
      <c r="AJ59" s="118"/>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row>
    <row r="60" spans="1:87" s="109" customFormat="1" ht="17.25" customHeight="1">
      <c r="A60" s="101"/>
      <c r="B60" s="101"/>
      <c r="C60" s="101"/>
      <c r="D60" s="101"/>
      <c r="E60" s="120"/>
      <c r="F60" s="120"/>
      <c r="G60" s="121"/>
      <c r="H60" s="121"/>
      <c r="I60" s="121"/>
      <c r="J60" s="121"/>
      <c r="K60" s="121"/>
      <c r="L60" s="121"/>
      <c r="M60" s="121"/>
      <c r="N60" s="121"/>
      <c r="O60" s="121"/>
      <c r="P60" s="121"/>
      <c r="Q60" s="121"/>
      <c r="R60" s="121"/>
      <c r="S60" s="121"/>
      <c r="T60" s="121"/>
      <c r="U60" s="121"/>
      <c r="V60" s="121"/>
      <c r="W60" s="121"/>
      <c r="X60" s="121"/>
      <c r="Y60" s="121"/>
      <c r="Z60" s="121"/>
      <c r="AA60" s="121"/>
      <c r="AJ60" s="118"/>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row>
    <row r="61" spans="1:87" s="109" customFormat="1" ht="17.25" customHeight="1">
      <c r="A61" s="101"/>
      <c r="B61" s="101"/>
      <c r="C61" s="101"/>
      <c r="D61" s="101"/>
      <c r="E61" s="120"/>
      <c r="F61" s="120"/>
      <c r="G61" s="121"/>
      <c r="H61" s="121"/>
      <c r="I61" s="121"/>
      <c r="J61" s="121"/>
      <c r="K61" s="121"/>
      <c r="L61" s="121"/>
      <c r="M61" s="121"/>
      <c r="N61" s="121"/>
      <c r="O61" s="121"/>
      <c r="P61" s="121"/>
      <c r="Q61" s="121"/>
      <c r="R61" s="121"/>
      <c r="S61" s="121"/>
      <c r="T61" s="121"/>
      <c r="U61" s="121"/>
      <c r="V61" s="121"/>
      <c r="W61" s="121"/>
      <c r="X61" s="121"/>
      <c r="Y61" s="121"/>
      <c r="Z61" s="121"/>
      <c r="AA61" s="121"/>
      <c r="AJ61" s="118"/>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row>
    <row r="62" spans="1:87" ht="17.25" customHeight="1">
      <c r="E62" s="122"/>
      <c r="F62" s="122"/>
      <c r="G62" s="123"/>
      <c r="H62" s="123"/>
      <c r="I62" s="123"/>
      <c r="J62" s="123"/>
      <c r="K62" s="123"/>
      <c r="L62" s="123"/>
      <c r="M62" s="123"/>
      <c r="N62" s="123"/>
      <c r="O62" s="123"/>
      <c r="P62" s="123"/>
      <c r="Q62" s="123"/>
      <c r="R62" s="123"/>
      <c r="S62" s="123"/>
      <c r="T62" s="123"/>
      <c r="U62" s="123"/>
      <c r="V62" s="123"/>
      <c r="W62" s="123"/>
      <c r="X62" s="123"/>
      <c r="Y62" s="123"/>
      <c r="Z62" s="123"/>
      <c r="AA62" s="123"/>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row>
    <row r="63" spans="1:87" ht="17.25" customHeight="1">
      <c r="E63" s="122"/>
      <c r="F63" s="122"/>
      <c r="G63" s="123"/>
      <c r="H63" s="123"/>
      <c r="I63" s="123"/>
      <c r="J63" s="123"/>
      <c r="K63" s="123"/>
      <c r="L63" s="123"/>
      <c r="M63" s="123"/>
      <c r="N63" s="123"/>
      <c r="O63" s="123"/>
      <c r="P63" s="123"/>
      <c r="Q63" s="123"/>
      <c r="R63" s="123"/>
      <c r="S63" s="123"/>
      <c r="T63" s="123"/>
      <c r="U63" s="123"/>
      <c r="V63" s="123"/>
      <c r="W63" s="123"/>
      <c r="X63" s="123"/>
      <c r="Y63" s="123"/>
      <c r="Z63" s="123"/>
      <c r="AA63" s="123"/>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row>
    <row r="64" spans="1:87" ht="17.25" customHeight="1">
      <c r="E64" s="122"/>
      <c r="F64" s="122"/>
      <c r="G64" s="123"/>
      <c r="H64" s="123"/>
      <c r="I64" s="123"/>
      <c r="J64" s="123"/>
      <c r="K64" s="123"/>
      <c r="L64" s="123"/>
      <c r="M64" s="123"/>
      <c r="N64" s="123"/>
      <c r="O64" s="123"/>
      <c r="P64" s="123"/>
      <c r="Q64" s="123"/>
      <c r="R64" s="123"/>
      <c r="S64" s="123"/>
      <c r="T64" s="123"/>
      <c r="U64" s="123"/>
      <c r="V64" s="123"/>
      <c r="W64" s="123"/>
      <c r="X64" s="123"/>
      <c r="Y64" s="123"/>
      <c r="Z64" s="123"/>
      <c r="AA64" s="123"/>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row>
    <row r="65" spans="3:87" ht="17.25" customHeight="1">
      <c r="E65" s="122"/>
      <c r="F65" s="122"/>
      <c r="G65" s="123"/>
      <c r="H65" s="123"/>
      <c r="I65" s="123"/>
      <c r="J65" s="123"/>
      <c r="K65" s="123"/>
      <c r="L65" s="123"/>
      <c r="M65" s="123"/>
      <c r="N65" s="123"/>
      <c r="O65" s="123"/>
      <c r="P65" s="123"/>
      <c r="Q65" s="123"/>
      <c r="R65" s="123"/>
      <c r="S65" s="123"/>
      <c r="T65" s="123"/>
      <c r="U65" s="123"/>
      <c r="V65" s="123"/>
      <c r="W65" s="123"/>
      <c r="X65" s="123"/>
      <c r="Y65" s="123"/>
      <c r="Z65" s="123"/>
      <c r="AA65" s="123"/>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row>
    <row r="66" spans="3:87" ht="17.25" customHeight="1">
      <c r="E66" s="122"/>
      <c r="F66" s="122"/>
      <c r="G66" s="123"/>
      <c r="H66" s="123"/>
      <c r="I66" s="123"/>
      <c r="J66" s="123"/>
      <c r="K66" s="123"/>
      <c r="L66" s="123"/>
      <c r="M66" s="123"/>
      <c r="N66" s="123"/>
      <c r="O66" s="123"/>
      <c r="P66" s="123"/>
      <c r="Q66" s="123"/>
      <c r="R66" s="123"/>
      <c r="S66" s="123"/>
      <c r="T66" s="123"/>
      <c r="U66" s="123"/>
      <c r="V66" s="123"/>
      <c r="W66" s="123"/>
      <c r="X66" s="123"/>
      <c r="Y66" s="123"/>
      <c r="Z66" s="123"/>
      <c r="AA66" s="123"/>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row>
    <row r="67" spans="3:87" ht="17.25" customHeight="1">
      <c r="E67" s="122"/>
      <c r="F67" s="122"/>
      <c r="G67" s="123"/>
      <c r="H67" s="123"/>
      <c r="I67" s="123"/>
      <c r="J67" s="123"/>
      <c r="K67" s="123"/>
      <c r="L67" s="123"/>
      <c r="M67" s="123"/>
      <c r="N67" s="123"/>
      <c r="O67" s="123"/>
      <c r="P67" s="123"/>
      <c r="Q67" s="123"/>
      <c r="R67" s="123"/>
      <c r="S67" s="123"/>
      <c r="T67" s="123"/>
      <c r="U67" s="123"/>
      <c r="V67" s="123"/>
      <c r="W67" s="123"/>
      <c r="X67" s="123"/>
      <c r="Y67" s="123"/>
      <c r="Z67" s="123"/>
      <c r="AA67" s="123"/>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row>
    <row r="68" spans="3:87" ht="17.25" customHeight="1">
      <c r="E68" s="122"/>
      <c r="F68" s="122"/>
      <c r="G68" s="123"/>
      <c r="H68" s="123"/>
      <c r="I68" s="123"/>
      <c r="J68" s="123"/>
      <c r="K68" s="123"/>
      <c r="L68" s="123"/>
      <c r="M68" s="123"/>
      <c r="N68" s="123"/>
      <c r="O68" s="123"/>
      <c r="P68" s="123"/>
      <c r="Q68" s="123"/>
      <c r="R68" s="123"/>
      <c r="S68" s="123"/>
      <c r="T68" s="123"/>
      <c r="U68" s="123"/>
      <c r="V68" s="123"/>
      <c r="W68" s="123"/>
      <c r="X68" s="123"/>
      <c r="Y68" s="123"/>
      <c r="Z68" s="123"/>
      <c r="AA68" s="123"/>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row>
    <row r="69" spans="3:87" ht="17.25" customHeight="1">
      <c r="C69" s="1331"/>
      <c r="E69" s="122"/>
      <c r="F69" s="122"/>
      <c r="G69" s="123"/>
      <c r="H69" s="123"/>
      <c r="I69" s="123"/>
      <c r="J69" s="123"/>
      <c r="K69" s="123"/>
      <c r="L69" s="123"/>
      <c r="M69" s="123"/>
      <c r="N69" s="123"/>
      <c r="O69" s="123"/>
      <c r="P69" s="123"/>
      <c r="Q69" s="123"/>
      <c r="R69" s="123"/>
      <c r="S69" s="123"/>
      <c r="T69" s="123"/>
      <c r="U69" s="123"/>
      <c r="V69" s="123"/>
      <c r="W69" s="123"/>
      <c r="X69" s="123"/>
      <c r="Y69" s="123"/>
      <c r="Z69" s="123"/>
      <c r="AA69" s="123"/>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row>
    <row r="70" spans="3:87" ht="17.25" customHeight="1">
      <c r="E70" s="122"/>
      <c r="F70" s="122"/>
      <c r="G70" s="123"/>
      <c r="H70" s="123"/>
      <c r="I70" s="123"/>
      <c r="J70" s="123"/>
      <c r="K70" s="123"/>
      <c r="L70" s="123"/>
      <c r="M70" s="123"/>
      <c r="N70" s="123"/>
      <c r="O70" s="123"/>
      <c r="P70" s="123"/>
      <c r="Q70" s="123"/>
      <c r="R70" s="123"/>
      <c r="S70" s="123"/>
      <c r="T70" s="123"/>
      <c r="U70" s="123"/>
      <c r="V70" s="123"/>
      <c r="W70" s="123"/>
      <c r="X70" s="123"/>
      <c r="Y70" s="123"/>
      <c r="Z70" s="123"/>
      <c r="AA70" s="123"/>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row>
    <row r="71" spans="3:87" ht="17.25" customHeight="1">
      <c r="E71" s="122"/>
      <c r="F71" s="122"/>
      <c r="G71" s="123"/>
      <c r="H71" s="123"/>
      <c r="I71" s="123"/>
      <c r="J71" s="123"/>
      <c r="K71" s="123"/>
      <c r="L71" s="123"/>
      <c r="M71" s="123"/>
      <c r="N71" s="123"/>
      <c r="O71" s="123"/>
      <c r="P71" s="123"/>
      <c r="Q71" s="123"/>
      <c r="R71" s="123"/>
      <c r="S71" s="123"/>
      <c r="T71" s="123"/>
      <c r="U71" s="123"/>
      <c r="V71" s="123"/>
      <c r="W71" s="123"/>
      <c r="X71" s="123"/>
      <c r="Y71" s="123"/>
      <c r="Z71" s="123"/>
      <c r="AA71" s="123"/>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row>
    <row r="72" spans="3:87" ht="17.25" customHeight="1">
      <c r="E72" s="122"/>
      <c r="F72" s="122"/>
      <c r="G72" s="123"/>
      <c r="H72" s="123"/>
      <c r="I72" s="123"/>
      <c r="J72" s="123"/>
      <c r="K72" s="123"/>
      <c r="L72" s="123"/>
      <c r="M72" s="123"/>
      <c r="N72" s="123"/>
      <c r="O72" s="123"/>
      <c r="P72" s="123"/>
      <c r="Q72" s="123"/>
      <c r="R72" s="123"/>
      <c r="S72" s="123"/>
      <c r="T72" s="123"/>
      <c r="U72" s="123"/>
      <c r="V72" s="123"/>
      <c r="W72" s="123"/>
      <c r="X72" s="123"/>
      <c r="Y72" s="123"/>
      <c r="Z72" s="123"/>
      <c r="AA72" s="123"/>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row>
    <row r="73" spans="3:87" ht="17.25" customHeight="1">
      <c r="E73" s="122"/>
      <c r="F73" s="122"/>
      <c r="G73" s="123"/>
      <c r="H73" s="123"/>
      <c r="I73" s="123"/>
      <c r="J73" s="123"/>
      <c r="K73" s="123"/>
      <c r="L73" s="123"/>
      <c r="M73" s="123"/>
      <c r="N73" s="123"/>
      <c r="O73" s="123"/>
      <c r="P73" s="123"/>
      <c r="Q73" s="123"/>
      <c r="R73" s="123"/>
      <c r="S73" s="123"/>
      <c r="T73" s="123"/>
      <c r="U73" s="123"/>
      <c r="V73" s="123"/>
      <c r="W73" s="123"/>
      <c r="X73" s="123"/>
      <c r="Y73" s="123"/>
      <c r="Z73" s="123"/>
      <c r="AA73" s="123"/>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row>
    <row r="74" spans="3:87" ht="17.25" customHeight="1">
      <c r="E74" s="122"/>
      <c r="F74" s="122"/>
      <c r="G74" s="123"/>
      <c r="H74" s="123"/>
      <c r="I74" s="123"/>
      <c r="J74" s="123"/>
      <c r="K74" s="123"/>
      <c r="L74" s="123"/>
      <c r="M74" s="123"/>
      <c r="N74" s="123"/>
      <c r="O74" s="123"/>
      <c r="P74" s="123"/>
      <c r="Q74" s="123"/>
      <c r="R74" s="123"/>
      <c r="S74" s="123"/>
      <c r="T74" s="123"/>
      <c r="U74" s="123"/>
      <c r="V74" s="123"/>
      <c r="W74" s="123"/>
      <c r="X74" s="123"/>
      <c r="Y74" s="123"/>
      <c r="Z74" s="123"/>
      <c r="AA74" s="123"/>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row>
    <row r="75" spans="3:87" ht="17.25" customHeight="1">
      <c r="E75" s="122"/>
      <c r="F75" s="122"/>
      <c r="G75" s="123"/>
      <c r="H75" s="123"/>
      <c r="I75" s="123"/>
      <c r="J75" s="123"/>
      <c r="K75" s="123"/>
      <c r="L75" s="123"/>
      <c r="M75" s="123"/>
      <c r="N75" s="123"/>
      <c r="O75" s="123"/>
      <c r="P75" s="123"/>
      <c r="Q75" s="123"/>
      <c r="R75" s="123"/>
      <c r="S75" s="123"/>
      <c r="T75" s="123"/>
      <c r="U75" s="123"/>
      <c r="V75" s="123"/>
      <c r="W75" s="123"/>
      <c r="X75" s="123"/>
      <c r="Y75" s="123"/>
      <c r="Z75" s="123"/>
      <c r="AA75" s="123"/>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row>
    <row r="76" spans="3:87" ht="17.25" customHeight="1">
      <c r="E76" s="122"/>
      <c r="F76" s="122"/>
      <c r="G76" s="123"/>
      <c r="H76" s="123"/>
      <c r="I76" s="123"/>
      <c r="J76" s="123"/>
      <c r="K76" s="123"/>
      <c r="L76" s="123"/>
      <c r="M76" s="123"/>
      <c r="N76" s="123"/>
      <c r="O76" s="123"/>
      <c r="P76" s="123"/>
      <c r="Q76" s="123"/>
      <c r="R76" s="123"/>
      <c r="S76" s="123"/>
      <c r="T76" s="123"/>
      <c r="U76" s="123"/>
      <c r="V76" s="123"/>
      <c r="W76" s="123"/>
      <c r="X76" s="123"/>
      <c r="Y76" s="123"/>
      <c r="Z76" s="123"/>
      <c r="AA76" s="123"/>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row>
    <row r="77" spans="3:87" ht="17.25" customHeight="1">
      <c r="E77" s="122"/>
      <c r="F77" s="122"/>
      <c r="G77" s="123"/>
      <c r="H77" s="123"/>
      <c r="I77" s="123"/>
      <c r="J77" s="123"/>
      <c r="K77" s="123"/>
      <c r="L77" s="123"/>
      <c r="M77" s="123"/>
      <c r="N77" s="123"/>
      <c r="O77" s="123"/>
      <c r="P77" s="123"/>
      <c r="Q77" s="123"/>
      <c r="R77" s="123"/>
      <c r="S77" s="123"/>
      <c r="T77" s="123"/>
      <c r="U77" s="123"/>
      <c r="V77" s="123"/>
      <c r="W77" s="123"/>
      <c r="X77" s="123"/>
      <c r="Y77" s="123"/>
      <c r="Z77" s="123"/>
      <c r="AA77" s="123"/>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row>
    <row r="78" spans="3:87" ht="17.25" customHeight="1">
      <c r="E78" s="122"/>
      <c r="F78" s="122"/>
      <c r="G78" s="123"/>
      <c r="H78" s="123"/>
      <c r="I78" s="123"/>
      <c r="J78" s="123"/>
      <c r="K78" s="123"/>
      <c r="L78" s="123"/>
      <c r="M78" s="123"/>
      <c r="N78" s="123"/>
      <c r="O78" s="123"/>
      <c r="P78" s="123"/>
      <c r="Q78" s="123"/>
      <c r="R78" s="123"/>
      <c r="S78" s="123"/>
      <c r="T78" s="123"/>
      <c r="U78" s="123"/>
      <c r="V78" s="123"/>
      <c r="W78" s="123"/>
      <c r="X78" s="123"/>
      <c r="Y78" s="123"/>
      <c r="Z78" s="123"/>
      <c r="AA78" s="123"/>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row>
    <row r="79" spans="3:87" ht="17.25" customHeight="1">
      <c r="E79" s="122"/>
      <c r="F79" s="122"/>
      <c r="G79" s="123"/>
      <c r="H79" s="123"/>
      <c r="I79" s="123"/>
      <c r="J79" s="123"/>
      <c r="K79" s="123"/>
      <c r="L79" s="123"/>
      <c r="M79" s="123"/>
      <c r="N79" s="123"/>
      <c r="O79" s="123"/>
      <c r="P79" s="123"/>
      <c r="Q79" s="123"/>
      <c r="R79" s="123"/>
      <c r="S79" s="123"/>
      <c r="T79" s="123"/>
      <c r="U79" s="123"/>
      <c r="V79" s="123"/>
      <c r="W79" s="123"/>
      <c r="X79" s="123"/>
      <c r="Y79" s="123"/>
      <c r="Z79" s="123"/>
      <c r="AA79" s="123"/>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row>
    <row r="80" spans="3:87" ht="17.25" customHeight="1">
      <c r="E80" s="122"/>
      <c r="F80" s="122"/>
      <c r="G80" s="123"/>
      <c r="H80" s="123"/>
      <c r="I80" s="123"/>
      <c r="J80" s="123"/>
      <c r="K80" s="123"/>
      <c r="L80" s="123"/>
      <c r="M80" s="123"/>
      <c r="N80" s="123"/>
      <c r="O80" s="123"/>
      <c r="P80" s="123"/>
      <c r="Q80" s="123"/>
      <c r="R80" s="123"/>
      <c r="S80" s="123"/>
      <c r="T80" s="123"/>
      <c r="U80" s="123"/>
      <c r="V80" s="123"/>
      <c r="W80" s="123"/>
      <c r="X80" s="123"/>
      <c r="Y80" s="123"/>
      <c r="Z80" s="123"/>
      <c r="AA80" s="123"/>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row>
    <row r="81" spans="5:87" ht="17.25" customHeight="1">
      <c r="E81" s="122"/>
      <c r="F81" s="122"/>
      <c r="G81" s="123"/>
      <c r="H81" s="123"/>
      <c r="I81" s="123"/>
      <c r="J81" s="123"/>
      <c r="K81" s="123"/>
      <c r="L81" s="123"/>
      <c r="M81" s="123"/>
      <c r="N81" s="123"/>
      <c r="O81" s="123"/>
      <c r="P81" s="123"/>
      <c r="Q81" s="123"/>
      <c r="R81" s="123"/>
      <c r="S81" s="123"/>
      <c r="T81" s="123"/>
      <c r="U81" s="123"/>
      <c r="V81" s="123"/>
      <c r="W81" s="123"/>
      <c r="X81" s="123"/>
      <c r="Y81" s="123"/>
      <c r="Z81" s="123"/>
      <c r="AA81" s="123"/>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row>
    <row r="82" spans="5:87" ht="17.25" customHeight="1">
      <c r="E82" s="122"/>
      <c r="F82" s="122"/>
      <c r="G82" s="123"/>
      <c r="H82" s="123"/>
      <c r="I82" s="123"/>
      <c r="J82" s="123"/>
      <c r="K82" s="123"/>
      <c r="L82" s="123"/>
      <c r="M82" s="123"/>
      <c r="N82" s="123"/>
      <c r="O82" s="123"/>
      <c r="P82" s="123"/>
      <c r="Q82" s="123"/>
      <c r="R82" s="123"/>
      <c r="S82" s="123"/>
      <c r="T82" s="123"/>
      <c r="U82" s="123"/>
      <c r="V82" s="123"/>
      <c r="W82" s="123"/>
      <c r="X82" s="123"/>
      <c r="Y82" s="123"/>
      <c r="Z82" s="123"/>
      <c r="AA82" s="123"/>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row>
    <row r="83" spans="5:87" ht="17.25" customHeight="1">
      <c r="E83" s="122"/>
      <c r="F83" s="122"/>
      <c r="G83" s="123"/>
      <c r="H83" s="123"/>
      <c r="I83" s="123"/>
      <c r="J83" s="123"/>
      <c r="K83" s="123"/>
      <c r="L83" s="123"/>
      <c r="M83" s="123"/>
      <c r="N83" s="123"/>
      <c r="O83" s="123"/>
      <c r="P83" s="123"/>
      <c r="Q83" s="123"/>
      <c r="R83" s="123"/>
      <c r="S83" s="123"/>
      <c r="T83" s="123"/>
      <c r="U83" s="123"/>
      <c r="V83" s="123"/>
      <c r="W83" s="123"/>
      <c r="X83" s="123"/>
      <c r="Y83" s="123"/>
      <c r="Z83" s="123"/>
      <c r="AA83" s="123"/>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row>
    <row r="84" spans="5:87" ht="17.25" customHeight="1">
      <c r="E84" s="122"/>
      <c r="F84" s="122"/>
      <c r="G84" s="123"/>
      <c r="H84" s="123"/>
      <c r="I84" s="123"/>
      <c r="J84" s="123"/>
      <c r="K84" s="123"/>
      <c r="L84" s="123"/>
      <c r="M84" s="123"/>
      <c r="N84" s="123"/>
      <c r="O84" s="123"/>
      <c r="P84" s="123"/>
      <c r="Q84" s="123"/>
      <c r="R84" s="123"/>
      <c r="S84" s="123"/>
      <c r="T84" s="123"/>
      <c r="U84" s="123"/>
      <c r="V84" s="123"/>
      <c r="W84" s="123"/>
      <c r="X84" s="123"/>
      <c r="Y84" s="123"/>
      <c r="Z84" s="123"/>
      <c r="AA84" s="123"/>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row>
    <row r="85" spans="5:87" ht="17.25" customHeight="1">
      <c r="E85" s="122"/>
      <c r="F85" s="122"/>
      <c r="G85" s="123"/>
      <c r="H85" s="123"/>
      <c r="I85" s="123"/>
      <c r="J85" s="123"/>
      <c r="K85" s="123"/>
      <c r="L85" s="123"/>
      <c r="M85" s="123"/>
      <c r="N85" s="123"/>
      <c r="O85" s="123"/>
      <c r="P85" s="123"/>
      <c r="Q85" s="123"/>
      <c r="R85" s="123"/>
      <c r="S85" s="123"/>
      <c r="T85" s="123"/>
      <c r="U85" s="123"/>
      <c r="V85" s="123"/>
      <c r="W85" s="123"/>
      <c r="X85" s="123"/>
      <c r="Y85" s="123"/>
      <c r="Z85" s="123"/>
      <c r="AA85" s="123"/>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row>
    <row r="86" spans="5:87" ht="17.25" customHeight="1">
      <c r="E86" s="122"/>
      <c r="F86" s="122"/>
      <c r="G86" s="123"/>
      <c r="H86" s="123"/>
      <c r="I86" s="123"/>
      <c r="J86" s="123"/>
      <c r="K86" s="123"/>
      <c r="L86" s="123"/>
      <c r="M86" s="123"/>
      <c r="N86" s="123"/>
      <c r="O86" s="123"/>
      <c r="P86" s="123"/>
      <c r="Q86" s="123"/>
      <c r="R86" s="123"/>
      <c r="S86" s="123"/>
      <c r="T86" s="123"/>
      <c r="U86" s="123"/>
      <c r="V86" s="123"/>
      <c r="W86" s="123"/>
      <c r="X86" s="123"/>
      <c r="Y86" s="123"/>
      <c r="Z86" s="123"/>
      <c r="AA86" s="123"/>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row>
    <row r="87" spans="5:87" ht="17.25" customHeight="1">
      <c r="E87" s="122"/>
      <c r="F87" s="122"/>
      <c r="G87" s="123"/>
      <c r="H87" s="123"/>
      <c r="I87" s="123"/>
      <c r="J87" s="123"/>
      <c r="K87" s="123"/>
      <c r="L87" s="123"/>
      <c r="M87" s="123"/>
      <c r="N87" s="123"/>
      <c r="O87" s="123"/>
      <c r="P87" s="123"/>
      <c r="Q87" s="123"/>
      <c r="R87" s="123"/>
      <c r="S87" s="123"/>
      <c r="T87" s="123"/>
      <c r="U87" s="123"/>
      <c r="V87" s="123"/>
      <c r="W87" s="123"/>
      <c r="X87" s="123"/>
      <c r="Y87" s="123"/>
      <c r="Z87" s="123"/>
      <c r="AA87" s="123"/>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row>
    <row r="88" spans="5:87" ht="17.25" customHeight="1">
      <c r="E88" s="122"/>
      <c r="F88" s="122"/>
      <c r="G88" s="123"/>
      <c r="H88" s="123"/>
      <c r="I88" s="123"/>
      <c r="J88" s="123"/>
      <c r="K88" s="123"/>
      <c r="L88" s="123"/>
      <c r="M88" s="123"/>
      <c r="N88" s="123"/>
      <c r="O88" s="123"/>
      <c r="P88" s="123"/>
      <c r="Q88" s="123"/>
      <c r="R88" s="123"/>
      <c r="S88" s="123"/>
      <c r="T88" s="123"/>
      <c r="U88" s="123"/>
      <c r="V88" s="123"/>
      <c r="W88" s="123"/>
      <c r="X88" s="123"/>
      <c r="Y88" s="123"/>
      <c r="Z88" s="123"/>
      <c r="AA88" s="123"/>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row>
    <row r="89" spans="5:87" ht="17.25" customHeight="1">
      <c r="E89" s="122"/>
      <c r="F89" s="122"/>
      <c r="G89" s="123"/>
      <c r="H89" s="123"/>
      <c r="I89" s="123"/>
      <c r="J89" s="123"/>
      <c r="K89" s="123"/>
      <c r="L89" s="123"/>
      <c r="M89" s="123"/>
      <c r="N89" s="123"/>
      <c r="O89" s="123"/>
      <c r="P89" s="123"/>
      <c r="Q89" s="123"/>
      <c r="R89" s="123"/>
      <c r="S89" s="123"/>
      <c r="T89" s="123"/>
      <c r="U89" s="123"/>
      <c r="V89" s="123"/>
      <c r="W89" s="123"/>
      <c r="X89" s="123"/>
      <c r="Y89" s="123"/>
      <c r="Z89" s="123"/>
      <c r="AA89" s="123"/>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row>
    <row r="90" spans="5:87" ht="17.25" customHeight="1">
      <c r="E90" s="122"/>
      <c r="F90" s="122"/>
      <c r="G90" s="123"/>
      <c r="H90" s="123"/>
      <c r="I90" s="123"/>
      <c r="J90" s="123"/>
      <c r="K90" s="123"/>
      <c r="L90" s="123"/>
      <c r="M90" s="123"/>
      <c r="N90" s="123"/>
      <c r="O90" s="123"/>
      <c r="P90" s="123"/>
      <c r="Q90" s="123"/>
      <c r="R90" s="123"/>
      <c r="S90" s="123"/>
      <c r="T90" s="123"/>
      <c r="U90" s="123"/>
      <c r="V90" s="123"/>
      <c r="W90" s="123"/>
      <c r="X90" s="123"/>
      <c r="Y90" s="123"/>
      <c r="Z90" s="123"/>
      <c r="AA90" s="123"/>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row>
    <row r="91" spans="5:87" ht="17.25" customHeight="1">
      <c r="E91" s="122"/>
      <c r="F91" s="122"/>
      <c r="G91" s="123"/>
      <c r="H91" s="123"/>
      <c r="I91" s="123"/>
      <c r="J91" s="123"/>
      <c r="K91" s="123"/>
      <c r="L91" s="123"/>
      <c r="M91" s="123"/>
      <c r="N91" s="123"/>
      <c r="O91" s="123"/>
      <c r="P91" s="123"/>
      <c r="Q91" s="123"/>
      <c r="R91" s="123"/>
      <c r="S91" s="123"/>
      <c r="T91" s="123"/>
      <c r="U91" s="123"/>
      <c r="V91" s="123"/>
      <c r="W91" s="123"/>
      <c r="X91" s="123"/>
      <c r="Y91" s="123"/>
      <c r="Z91" s="123"/>
      <c r="AA91" s="123"/>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row>
    <row r="92" spans="5:87" ht="17.25" customHeight="1">
      <c r="E92" s="122"/>
      <c r="F92" s="122"/>
      <c r="G92" s="123"/>
      <c r="H92" s="123"/>
      <c r="I92" s="123"/>
      <c r="J92" s="123"/>
      <c r="K92" s="123"/>
      <c r="L92" s="123"/>
      <c r="M92" s="123"/>
      <c r="N92" s="123"/>
      <c r="O92" s="123"/>
      <c r="P92" s="123"/>
      <c r="Q92" s="123"/>
      <c r="R92" s="123"/>
      <c r="S92" s="123"/>
      <c r="T92" s="123"/>
      <c r="U92" s="123"/>
      <c r="V92" s="123"/>
      <c r="W92" s="123"/>
      <c r="X92" s="123"/>
      <c r="Y92" s="123"/>
      <c r="Z92" s="123"/>
      <c r="AA92" s="123"/>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row>
    <row r="93" spans="5:87" ht="17.25" customHeight="1">
      <c r="E93" s="122"/>
      <c r="F93" s="122"/>
      <c r="G93" s="123"/>
      <c r="H93" s="123"/>
      <c r="I93" s="123"/>
      <c r="J93" s="123"/>
      <c r="K93" s="123"/>
      <c r="L93" s="123"/>
      <c r="M93" s="123"/>
      <c r="N93" s="123"/>
      <c r="O93" s="123"/>
      <c r="P93" s="123"/>
      <c r="Q93" s="123"/>
      <c r="R93" s="123"/>
      <c r="S93" s="123"/>
      <c r="T93" s="123"/>
      <c r="U93" s="123"/>
      <c r="V93" s="123"/>
      <c r="W93" s="123"/>
      <c r="X93" s="123"/>
      <c r="Y93" s="123"/>
      <c r="Z93" s="123"/>
      <c r="AA93" s="123"/>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row>
    <row r="94" spans="5:87" ht="17.25" customHeight="1">
      <c r="E94" s="122"/>
      <c r="F94" s="122"/>
      <c r="G94" s="123"/>
      <c r="H94" s="123"/>
      <c r="I94" s="123"/>
      <c r="J94" s="123"/>
      <c r="K94" s="123"/>
      <c r="L94" s="123"/>
      <c r="M94" s="123"/>
      <c r="N94" s="123"/>
      <c r="O94" s="123"/>
      <c r="P94" s="123"/>
      <c r="Q94" s="123"/>
      <c r="R94" s="123"/>
      <c r="S94" s="123"/>
      <c r="T94" s="123"/>
      <c r="U94" s="123"/>
      <c r="V94" s="123"/>
      <c r="W94" s="123"/>
      <c r="X94" s="123"/>
      <c r="Y94" s="123"/>
      <c r="Z94" s="123"/>
      <c r="AA94" s="123"/>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row>
    <row r="95" spans="5:87" ht="17.25" customHeight="1">
      <c r="E95" s="122"/>
      <c r="F95" s="122"/>
      <c r="G95" s="123"/>
      <c r="H95" s="123"/>
      <c r="I95" s="123"/>
      <c r="J95" s="123"/>
      <c r="K95" s="123"/>
      <c r="L95" s="123"/>
      <c r="M95" s="123"/>
      <c r="N95" s="123"/>
      <c r="O95" s="123"/>
      <c r="P95" s="123"/>
      <c r="Q95" s="123"/>
      <c r="R95" s="123"/>
      <c r="S95" s="123"/>
      <c r="T95" s="123"/>
      <c r="U95" s="123"/>
      <c r="V95" s="123"/>
      <c r="W95" s="123"/>
      <c r="X95" s="123"/>
      <c r="Y95" s="123"/>
      <c r="Z95" s="123"/>
      <c r="AA95" s="123"/>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row>
    <row r="96" spans="5:87" ht="17.25" customHeight="1">
      <c r="E96" s="122"/>
      <c r="F96" s="122"/>
      <c r="G96" s="123"/>
      <c r="H96" s="123"/>
      <c r="I96" s="123"/>
      <c r="J96" s="123"/>
      <c r="K96" s="123"/>
      <c r="L96" s="123"/>
      <c r="M96" s="123"/>
      <c r="N96" s="123"/>
      <c r="O96" s="123"/>
      <c r="P96" s="123"/>
      <c r="Q96" s="123"/>
      <c r="R96" s="123"/>
      <c r="S96" s="123"/>
      <c r="T96" s="123"/>
      <c r="U96" s="123"/>
      <c r="V96" s="123"/>
      <c r="W96" s="123"/>
      <c r="X96" s="123"/>
      <c r="Y96" s="123"/>
      <c r="Z96" s="123"/>
      <c r="AA96" s="123"/>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row>
    <row r="97" spans="5:87" ht="17.25" customHeight="1">
      <c r="E97" s="122"/>
      <c r="F97" s="122"/>
      <c r="G97" s="123"/>
      <c r="H97" s="123"/>
      <c r="I97" s="123"/>
      <c r="J97" s="123"/>
      <c r="K97" s="123"/>
      <c r="L97" s="123"/>
      <c r="M97" s="123"/>
      <c r="N97" s="123"/>
      <c r="O97" s="123"/>
      <c r="P97" s="123"/>
      <c r="Q97" s="123"/>
      <c r="R97" s="123"/>
      <c r="S97" s="123"/>
      <c r="T97" s="123"/>
      <c r="U97" s="123"/>
      <c r="V97" s="123"/>
      <c r="W97" s="123"/>
      <c r="X97" s="123"/>
      <c r="Y97" s="123"/>
      <c r="Z97" s="123"/>
      <c r="AA97" s="123"/>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row>
    <row r="98" spans="5:87" ht="17.25" customHeight="1">
      <c r="E98" s="122"/>
      <c r="F98" s="122"/>
      <c r="G98" s="123"/>
      <c r="H98" s="123"/>
      <c r="I98" s="123"/>
      <c r="J98" s="123"/>
      <c r="K98" s="123"/>
      <c r="L98" s="123"/>
      <c r="M98" s="123"/>
      <c r="N98" s="123"/>
      <c r="O98" s="123"/>
      <c r="P98" s="123"/>
      <c r="Q98" s="123"/>
      <c r="R98" s="123"/>
      <c r="S98" s="123"/>
      <c r="T98" s="123"/>
      <c r="U98" s="123"/>
      <c r="V98" s="123"/>
      <c r="W98" s="123"/>
      <c r="X98" s="123"/>
      <c r="Y98" s="123"/>
      <c r="Z98" s="123"/>
      <c r="AA98" s="123"/>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row>
    <row r="99" spans="5:87" ht="17.25" customHeight="1">
      <c r="E99" s="122"/>
      <c r="F99" s="122"/>
      <c r="G99" s="123"/>
      <c r="H99" s="123"/>
      <c r="I99" s="123"/>
      <c r="J99" s="123"/>
      <c r="K99" s="123"/>
      <c r="L99" s="123"/>
      <c r="M99" s="123"/>
      <c r="N99" s="123"/>
      <c r="O99" s="123"/>
      <c r="P99" s="123"/>
      <c r="Q99" s="123"/>
      <c r="R99" s="123"/>
      <c r="S99" s="123"/>
      <c r="T99" s="123"/>
      <c r="U99" s="123"/>
      <c r="V99" s="123"/>
      <c r="W99" s="123"/>
      <c r="X99" s="123"/>
      <c r="Y99" s="123"/>
      <c r="Z99" s="123"/>
      <c r="AA99" s="123"/>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row>
    <row r="100" spans="5:87" ht="17.25" customHeight="1">
      <c r="E100" s="122"/>
      <c r="F100" s="122"/>
      <c r="G100" s="123"/>
      <c r="H100" s="123"/>
      <c r="I100" s="123"/>
      <c r="J100" s="123"/>
      <c r="K100" s="123"/>
      <c r="L100" s="123"/>
      <c r="M100" s="123"/>
      <c r="N100" s="123"/>
      <c r="O100" s="123"/>
      <c r="P100" s="123"/>
      <c r="Q100" s="123"/>
      <c r="R100" s="123"/>
      <c r="S100" s="123"/>
      <c r="T100" s="123"/>
      <c r="U100" s="123"/>
      <c r="V100" s="123"/>
      <c r="W100" s="123"/>
      <c r="X100" s="123"/>
      <c r="Y100" s="123"/>
      <c r="Z100" s="123"/>
      <c r="AA100" s="123"/>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row>
    <row r="101" spans="5:87" ht="17.25" customHeight="1">
      <c r="E101" s="122"/>
      <c r="F101" s="122"/>
      <c r="G101" s="123"/>
      <c r="H101" s="123"/>
      <c r="I101" s="123"/>
      <c r="J101" s="123"/>
      <c r="K101" s="123"/>
      <c r="L101" s="123"/>
      <c r="M101" s="123"/>
      <c r="N101" s="123"/>
      <c r="O101" s="123"/>
      <c r="P101" s="123"/>
      <c r="Q101" s="123"/>
      <c r="R101" s="123"/>
      <c r="S101" s="123"/>
      <c r="T101" s="123"/>
      <c r="U101" s="123"/>
      <c r="V101" s="123"/>
      <c r="W101" s="123"/>
      <c r="X101" s="123"/>
      <c r="Y101" s="123"/>
      <c r="Z101" s="123"/>
      <c r="AA101" s="123"/>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row>
    <row r="102" spans="5:87" ht="17.25" customHeight="1">
      <c r="E102" s="122"/>
      <c r="F102" s="122"/>
      <c r="G102" s="123"/>
      <c r="H102" s="123"/>
      <c r="I102" s="123"/>
      <c r="J102" s="123"/>
      <c r="K102" s="123"/>
      <c r="L102" s="123"/>
      <c r="M102" s="123"/>
      <c r="N102" s="123"/>
      <c r="O102" s="123"/>
      <c r="P102" s="123"/>
      <c r="Q102" s="123"/>
      <c r="R102" s="123"/>
      <c r="S102" s="123"/>
      <c r="T102" s="123"/>
      <c r="U102" s="123"/>
      <c r="V102" s="123"/>
      <c r="W102" s="123"/>
      <c r="X102" s="123"/>
      <c r="Y102" s="123"/>
      <c r="Z102" s="123"/>
      <c r="AA102" s="123"/>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row>
    <row r="103" spans="5:87" ht="17.25" customHeight="1">
      <c r="E103" s="122"/>
      <c r="F103" s="122"/>
      <c r="G103" s="123"/>
      <c r="H103" s="123"/>
      <c r="I103" s="123"/>
      <c r="J103" s="123"/>
      <c r="K103" s="123"/>
      <c r="L103" s="123"/>
      <c r="M103" s="123"/>
      <c r="N103" s="123"/>
      <c r="O103" s="123"/>
      <c r="P103" s="123"/>
      <c r="Q103" s="123"/>
      <c r="R103" s="123"/>
      <c r="S103" s="123"/>
      <c r="T103" s="123"/>
      <c r="U103" s="123"/>
      <c r="V103" s="123"/>
      <c r="W103" s="123"/>
      <c r="X103" s="123"/>
      <c r="Y103" s="123"/>
      <c r="Z103" s="123"/>
      <c r="AA103" s="123"/>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row>
    <row r="104" spans="5:87" ht="17.25" customHeight="1">
      <c r="E104" s="122"/>
      <c r="F104" s="122"/>
      <c r="G104" s="123"/>
      <c r="H104" s="123"/>
      <c r="I104" s="123"/>
      <c r="J104" s="123"/>
      <c r="K104" s="123"/>
      <c r="L104" s="123"/>
      <c r="M104" s="123"/>
      <c r="N104" s="123"/>
      <c r="O104" s="123"/>
      <c r="P104" s="123"/>
      <c r="Q104" s="123"/>
      <c r="R104" s="123"/>
      <c r="S104" s="123"/>
      <c r="T104" s="123"/>
      <c r="U104" s="123"/>
      <c r="V104" s="123"/>
      <c r="W104" s="123"/>
      <c r="X104" s="123"/>
      <c r="Y104" s="123"/>
      <c r="Z104" s="123"/>
      <c r="AA104" s="123"/>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row>
    <row r="105" spans="5:87" ht="17.25" customHeight="1">
      <c r="E105" s="122"/>
      <c r="F105" s="122"/>
      <c r="G105" s="123"/>
      <c r="H105" s="123"/>
      <c r="I105" s="123"/>
      <c r="J105" s="123"/>
      <c r="K105" s="123"/>
      <c r="L105" s="123"/>
      <c r="M105" s="123"/>
      <c r="N105" s="123"/>
      <c r="O105" s="123"/>
      <c r="P105" s="123"/>
      <c r="Q105" s="123"/>
      <c r="R105" s="123"/>
      <c r="S105" s="123"/>
      <c r="T105" s="123"/>
      <c r="U105" s="123"/>
      <c r="V105" s="123"/>
      <c r="W105" s="123"/>
      <c r="X105" s="123"/>
      <c r="Y105" s="123"/>
      <c r="Z105" s="123"/>
      <c r="AA105" s="123"/>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row>
    <row r="106" spans="5:87" ht="17.25" customHeight="1">
      <c r="E106" s="122"/>
      <c r="F106" s="122"/>
      <c r="G106" s="123"/>
      <c r="H106" s="123"/>
      <c r="I106" s="123"/>
      <c r="J106" s="123"/>
      <c r="K106" s="123"/>
      <c r="L106" s="123"/>
      <c r="M106" s="123"/>
      <c r="N106" s="123"/>
      <c r="O106" s="123"/>
      <c r="P106" s="123"/>
      <c r="Q106" s="123"/>
      <c r="R106" s="123"/>
      <c r="S106" s="123"/>
      <c r="T106" s="123"/>
      <c r="U106" s="123"/>
      <c r="V106" s="123"/>
      <c r="W106" s="123"/>
      <c r="X106" s="123"/>
      <c r="Y106" s="123"/>
      <c r="Z106" s="123"/>
      <c r="AA106" s="123"/>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row>
    <row r="107" spans="5:87" ht="17.25" customHeight="1">
      <c r="E107" s="122"/>
      <c r="F107" s="122"/>
      <c r="G107" s="123"/>
      <c r="H107" s="123"/>
      <c r="I107" s="123"/>
      <c r="J107" s="123"/>
      <c r="K107" s="123"/>
      <c r="L107" s="123"/>
      <c r="M107" s="123"/>
      <c r="N107" s="123"/>
      <c r="O107" s="123"/>
      <c r="P107" s="123"/>
      <c r="Q107" s="123"/>
      <c r="R107" s="123"/>
      <c r="S107" s="123"/>
      <c r="T107" s="123"/>
      <c r="U107" s="123"/>
      <c r="V107" s="123"/>
      <c r="W107" s="123"/>
      <c r="X107" s="123"/>
      <c r="Y107" s="123"/>
      <c r="Z107" s="123"/>
      <c r="AA107" s="123"/>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row>
    <row r="108" spans="5:87" ht="15.75">
      <c r="E108" s="122"/>
      <c r="F108" s="122"/>
      <c r="G108" s="123"/>
      <c r="H108" s="123"/>
      <c r="I108" s="123"/>
      <c r="J108" s="123"/>
      <c r="K108" s="123"/>
      <c r="L108" s="123"/>
      <c r="M108" s="123"/>
      <c r="N108" s="123"/>
      <c r="O108" s="123"/>
      <c r="P108" s="123"/>
      <c r="Q108" s="123"/>
      <c r="R108" s="123"/>
      <c r="S108" s="123"/>
      <c r="T108" s="123"/>
      <c r="U108" s="123"/>
      <c r="V108" s="123"/>
      <c r="W108" s="123"/>
      <c r="X108" s="123"/>
      <c r="Y108" s="123"/>
      <c r="Z108" s="123"/>
      <c r="AA108" s="123"/>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row>
    <row r="109" spans="5:87" ht="15.75">
      <c r="E109" s="122"/>
      <c r="F109" s="122"/>
      <c r="G109" s="123"/>
      <c r="H109" s="123"/>
      <c r="I109" s="123"/>
      <c r="J109" s="123"/>
      <c r="K109" s="123"/>
      <c r="L109" s="123"/>
      <c r="M109" s="123"/>
      <c r="N109" s="123"/>
      <c r="O109" s="123"/>
      <c r="P109" s="123"/>
      <c r="Q109" s="123"/>
      <c r="R109" s="123"/>
      <c r="S109" s="123"/>
      <c r="T109" s="123"/>
      <c r="U109" s="123"/>
      <c r="V109" s="123"/>
      <c r="W109" s="123"/>
      <c r="X109" s="123"/>
      <c r="Y109" s="123"/>
      <c r="Z109" s="123"/>
      <c r="AA109" s="123"/>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row>
    <row r="110" spans="5:87" ht="15.75">
      <c r="E110" s="122"/>
      <c r="F110" s="122"/>
      <c r="G110" s="123"/>
      <c r="H110" s="123"/>
      <c r="I110" s="123"/>
      <c r="J110" s="123"/>
      <c r="K110" s="123"/>
      <c r="L110" s="123"/>
      <c r="M110" s="123"/>
      <c r="N110" s="123"/>
      <c r="O110" s="123"/>
      <c r="P110" s="123"/>
      <c r="Q110" s="123"/>
      <c r="R110" s="123"/>
      <c r="S110" s="123"/>
      <c r="T110" s="123"/>
      <c r="U110" s="123"/>
      <c r="V110" s="123"/>
      <c r="W110" s="123"/>
      <c r="X110" s="123"/>
      <c r="Y110" s="123"/>
      <c r="Z110" s="123"/>
      <c r="AA110" s="123"/>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row>
    <row r="111" spans="5:87" ht="15.75">
      <c r="E111" s="122"/>
      <c r="F111" s="122"/>
      <c r="G111" s="123"/>
      <c r="H111" s="123"/>
      <c r="I111" s="123"/>
      <c r="J111" s="123"/>
      <c r="K111" s="123"/>
      <c r="L111" s="123"/>
      <c r="M111" s="123"/>
      <c r="N111" s="123"/>
      <c r="O111" s="123"/>
      <c r="P111" s="123"/>
      <c r="Q111" s="123"/>
      <c r="R111" s="123"/>
      <c r="S111" s="123"/>
      <c r="T111" s="123"/>
      <c r="U111" s="123"/>
      <c r="V111" s="123"/>
      <c r="W111" s="123"/>
      <c r="X111" s="123"/>
      <c r="Y111" s="123"/>
      <c r="Z111" s="123"/>
      <c r="AA111" s="123"/>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row>
    <row r="112" spans="5:87" ht="15.75">
      <c r="E112" s="122"/>
      <c r="F112" s="122"/>
      <c r="G112" s="123"/>
      <c r="H112" s="123"/>
      <c r="I112" s="123"/>
      <c r="J112" s="123"/>
      <c r="K112" s="123"/>
      <c r="L112" s="123"/>
      <c r="M112" s="123"/>
      <c r="N112" s="123"/>
      <c r="O112" s="123"/>
      <c r="P112" s="123"/>
      <c r="Q112" s="123"/>
      <c r="R112" s="123"/>
      <c r="S112" s="123"/>
      <c r="T112" s="123"/>
      <c r="U112" s="123"/>
      <c r="V112" s="123"/>
      <c r="W112" s="123"/>
      <c r="X112" s="123"/>
      <c r="Y112" s="123"/>
      <c r="Z112" s="123"/>
      <c r="AA112" s="123"/>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row>
    <row r="113" spans="5:87" ht="15.75">
      <c r="E113" s="122"/>
      <c r="F113" s="122"/>
      <c r="G113" s="123"/>
      <c r="H113" s="123"/>
      <c r="I113" s="123"/>
      <c r="J113" s="123"/>
      <c r="K113" s="123"/>
      <c r="L113" s="123"/>
      <c r="M113" s="123"/>
      <c r="N113" s="123"/>
      <c r="O113" s="123"/>
      <c r="P113" s="123"/>
      <c r="Q113" s="123"/>
      <c r="R113" s="123"/>
      <c r="S113" s="123"/>
      <c r="T113" s="123"/>
      <c r="U113" s="123"/>
      <c r="V113" s="123"/>
      <c r="W113" s="123"/>
      <c r="X113" s="123"/>
      <c r="Y113" s="123"/>
      <c r="Z113" s="123"/>
      <c r="AA113" s="123"/>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row>
    <row r="114" spans="5:87" ht="15.75">
      <c r="E114" s="122"/>
      <c r="F114" s="122"/>
      <c r="G114" s="123"/>
      <c r="H114" s="123"/>
      <c r="I114" s="123"/>
      <c r="J114" s="123"/>
      <c r="K114" s="123"/>
      <c r="L114" s="123"/>
      <c r="M114" s="123"/>
      <c r="N114" s="123"/>
      <c r="O114" s="123"/>
      <c r="P114" s="123"/>
      <c r="Q114" s="123"/>
      <c r="R114" s="123"/>
      <c r="S114" s="123"/>
      <c r="T114" s="123"/>
      <c r="U114" s="123"/>
      <c r="V114" s="123"/>
      <c r="W114" s="123"/>
      <c r="X114" s="123"/>
      <c r="Y114" s="123"/>
      <c r="Z114" s="123"/>
      <c r="AA114" s="123"/>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row>
    <row r="115" spans="5:87" ht="15.75">
      <c r="E115" s="122"/>
      <c r="F115" s="122"/>
      <c r="G115" s="123"/>
      <c r="H115" s="123"/>
      <c r="I115" s="123"/>
      <c r="J115" s="123"/>
      <c r="K115" s="123"/>
      <c r="L115" s="123"/>
      <c r="M115" s="123"/>
      <c r="N115" s="123"/>
      <c r="O115" s="123"/>
      <c r="P115" s="123"/>
      <c r="Q115" s="123"/>
      <c r="R115" s="123"/>
      <c r="S115" s="123"/>
      <c r="T115" s="123"/>
      <c r="U115" s="123"/>
      <c r="V115" s="123"/>
      <c r="W115" s="123"/>
      <c r="X115" s="123"/>
      <c r="Y115" s="123"/>
      <c r="Z115" s="123"/>
      <c r="AA115" s="123"/>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row>
    <row r="116" spans="5:87" ht="15.75">
      <c r="E116" s="122"/>
      <c r="F116" s="122"/>
      <c r="G116" s="123"/>
      <c r="H116" s="123"/>
      <c r="I116" s="123"/>
      <c r="J116" s="123"/>
      <c r="K116" s="123"/>
      <c r="L116" s="123"/>
      <c r="M116" s="123"/>
      <c r="N116" s="123"/>
      <c r="O116" s="123"/>
      <c r="P116" s="123"/>
      <c r="Q116" s="123"/>
      <c r="R116" s="123"/>
      <c r="S116" s="123"/>
      <c r="T116" s="123"/>
      <c r="U116" s="123"/>
      <c r="V116" s="123"/>
      <c r="W116" s="123"/>
      <c r="X116" s="123"/>
      <c r="Y116" s="123"/>
      <c r="Z116" s="123"/>
      <c r="AA116" s="123"/>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row>
    <row r="117" spans="5:87" ht="15.75">
      <c r="E117" s="122"/>
      <c r="F117" s="122"/>
      <c r="G117" s="123"/>
      <c r="H117" s="123"/>
      <c r="I117" s="123"/>
      <c r="J117" s="123"/>
      <c r="K117" s="123"/>
      <c r="L117" s="123"/>
      <c r="M117" s="123"/>
      <c r="N117" s="123"/>
      <c r="O117" s="123"/>
      <c r="P117" s="123"/>
      <c r="Q117" s="123"/>
      <c r="R117" s="123"/>
      <c r="S117" s="123"/>
      <c r="T117" s="123"/>
      <c r="U117" s="123"/>
      <c r="V117" s="123"/>
      <c r="W117" s="123"/>
      <c r="X117" s="123"/>
      <c r="Y117" s="123"/>
      <c r="Z117" s="123"/>
      <c r="AA117" s="123"/>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row>
    <row r="118" spans="5:87" ht="15.75">
      <c r="E118" s="122"/>
      <c r="F118" s="122"/>
      <c r="G118" s="123"/>
      <c r="H118" s="123"/>
      <c r="I118" s="123"/>
      <c r="J118" s="123"/>
      <c r="K118" s="123"/>
      <c r="L118" s="123"/>
      <c r="M118" s="123"/>
      <c r="N118" s="123"/>
      <c r="O118" s="123"/>
      <c r="P118" s="123"/>
      <c r="Q118" s="123"/>
      <c r="R118" s="123"/>
      <c r="S118" s="123"/>
      <c r="T118" s="123"/>
      <c r="U118" s="123"/>
      <c r="V118" s="123"/>
      <c r="W118" s="123"/>
      <c r="X118" s="123"/>
      <c r="Y118" s="123"/>
      <c r="Z118" s="123"/>
      <c r="AA118" s="123"/>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row>
    <row r="119" spans="5:87" ht="15.75">
      <c r="E119" s="122"/>
      <c r="F119" s="122"/>
      <c r="G119" s="123"/>
      <c r="H119" s="123"/>
      <c r="I119" s="123"/>
      <c r="J119" s="123"/>
      <c r="K119" s="123"/>
      <c r="L119" s="123"/>
      <c r="M119" s="123"/>
      <c r="N119" s="123"/>
      <c r="O119" s="123"/>
      <c r="P119" s="123"/>
      <c r="Q119" s="123"/>
      <c r="R119" s="123"/>
      <c r="S119" s="123"/>
      <c r="T119" s="123"/>
      <c r="U119" s="123"/>
      <c r="V119" s="123"/>
      <c r="W119" s="123"/>
      <c r="X119" s="123"/>
      <c r="Y119" s="123"/>
      <c r="Z119" s="123"/>
      <c r="AA119" s="123"/>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row>
    <row r="120" spans="5:87" ht="15.75">
      <c r="E120" s="122"/>
      <c r="F120" s="122"/>
      <c r="G120" s="123"/>
      <c r="H120" s="123"/>
      <c r="I120" s="123"/>
      <c r="J120" s="123"/>
      <c r="K120" s="123"/>
      <c r="L120" s="123"/>
      <c r="M120" s="123"/>
      <c r="N120" s="123"/>
      <c r="O120" s="123"/>
      <c r="P120" s="123"/>
      <c r="Q120" s="123"/>
      <c r="R120" s="123"/>
      <c r="S120" s="123"/>
      <c r="T120" s="123"/>
      <c r="U120" s="123"/>
      <c r="V120" s="123"/>
      <c r="W120" s="123"/>
      <c r="X120" s="123"/>
      <c r="Y120" s="123"/>
      <c r="Z120" s="123"/>
      <c r="AA120" s="123"/>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row>
    <row r="121" spans="5:87" ht="15.75">
      <c r="E121" s="122"/>
      <c r="F121" s="122"/>
      <c r="G121" s="123"/>
      <c r="H121" s="123"/>
      <c r="I121" s="123"/>
      <c r="J121" s="123"/>
      <c r="K121" s="123"/>
      <c r="L121" s="123"/>
      <c r="M121" s="123"/>
      <c r="N121" s="123"/>
      <c r="O121" s="123"/>
      <c r="P121" s="123"/>
      <c r="Q121" s="123"/>
      <c r="R121" s="123"/>
      <c r="S121" s="123"/>
      <c r="T121" s="123"/>
      <c r="U121" s="123"/>
      <c r="V121" s="123"/>
      <c r="W121" s="123"/>
      <c r="X121" s="123"/>
      <c r="Y121" s="123"/>
      <c r="Z121" s="123"/>
      <c r="AA121" s="123"/>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row>
    <row r="122" spans="5:87" ht="15.75">
      <c r="E122" s="122"/>
      <c r="F122" s="122"/>
      <c r="G122" s="123"/>
      <c r="H122" s="123"/>
      <c r="I122" s="123"/>
      <c r="J122" s="123"/>
      <c r="K122" s="123"/>
      <c r="L122" s="123"/>
      <c r="M122" s="123"/>
      <c r="N122" s="123"/>
      <c r="O122" s="123"/>
      <c r="P122" s="123"/>
      <c r="Q122" s="123"/>
      <c r="R122" s="123"/>
      <c r="S122" s="123"/>
      <c r="T122" s="123"/>
      <c r="U122" s="123"/>
      <c r="V122" s="123"/>
      <c r="W122" s="123"/>
      <c r="X122" s="123"/>
      <c r="Y122" s="123"/>
      <c r="Z122" s="123"/>
      <c r="AA122" s="123"/>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row>
    <row r="123" spans="5:87" ht="15.75">
      <c r="E123" s="122"/>
      <c r="F123" s="122"/>
      <c r="G123" s="123"/>
      <c r="H123" s="123"/>
      <c r="I123" s="123"/>
      <c r="J123" s="123"/>
      <c r="K123" s="123"/>
      <c r="L123" s="123"/>
      <c r="M123" s="123"/>
      <c r="N123" s="123"/>
      <c r="O123" s="123"/>
      <c r="P123" s="123"/>
      <c r="Q123" s="123"/>
      <c r="R123" s="123"/>
      <c r="S123" s="123"/>
      <c r="T123" s="123"/>
      <c r="U123" s="123"/>
      <c r="V123" s="123"/>
      <c r="W123" s="123"/>
      <c r="X123" s="123"/>
      <c r="Y123" s="123"/>
      <c r="Z123" s="123"/>
      <c r="AA123" s="123"/>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row>
    <row r="124" spans="5:87" ht="15.75">
      <c r="E124" s="122"/>
      <c r="F124" s="122"/>
      <c r="G124" s="123"/>
      <c r="H124" s="123"/>
      <c r="I124" s="123"/>
      <c r="J124" s="123"/>
      <c r="K124" s="123"/>
      <c r="L124" s="123"/>
      <c r="M124" s="123"/>
      <c r="N124" s="123"/>
      <c r="O124" s="123"/>
      <c r="P124" s="123"/>
      <c r="Q124" s="123"/>
      <c r="R124" s="123"/>
      <c r="S124" s="123"/>
      <c r="T124" s="123"/>
      <c r="U124" s="123"/>
      <c r="V124" s="123"/>
      <c r="W124" s="123"/>
      <c r="X124" s="123"/>
      <c r="Y124" s="123"/>
      <c r="Z124" s="123"/>
      <c r="AA124" s="123"/>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row>
    <row r="125" spans="5:87" ht="15.75">
      <c r="E125" s="122"/>
      <c r="F125" s="122"/>
      <c r="G125" s="123"/>
      <c r="H125" s="123"/>
      <c r="I125" s="123"/>
      <c r="J125" s="123"/>
      <c r="K125" s="123"/>
      <c r="L125" s="123"/>
      <c r="M125" s="123"/>
      <c r="N125" s="123"/>
      <c r="O125" s="123"/>
      <c r="P125" s="123"/>
      <c r="Q125" s="123"/>
      <c r="R125" s="123"/>
      <c r="S125" s="123"/>
      <c r="T125" s="123"/>
      <c r="U125" s="123"/>
      <c r="V125" s="123"/>
      <c r="W125" s="123"/>
      <c r="X125" s="123"/>
      <c r="Y125" s="123"/>
      <c r="Z125" s="123"/>
      <c r="AA125" s="123"/>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row>
    <row r="126" spans="5:87" ht="15.75">
      <c r="E126" s="122"/>
      <c r="F126" s="122"/>
      <c r="G126" s="123"/>
      <c r="H126" s="123"/>
      <c r="I126" s="123"/>
      <c r="J126" s="123"/>
      <c r="K126" s="123"/>
      <c r="L126" s="123"/>
      <c r="M126" s="123"/>
      <c r="N126" s="123"/>
      <c r="O126" s="123"/>
      <c r="P126" s="123"/>
      <c r="Q126" s="123"/>
      <c r="R126" s="123"/>
      <c r="S126" s="123"/>
      <c r="T126" s="123"/>
      <c r="U126" s="123"/>
      <c r="V126" s="123"/>
      <c r="W126" s="123"/>
      <c r="X126" s="123"/>
      <c r="Y126" s="123"/>
      <c r="Z126" s="123"/>
      <c r="AA126" s="123"/>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row>
    <row r="127" spans="5:87" ht="15.75">
      <c r="E127" s="122"/>
      <c r="F127" s="122"/>
      <c r="G127" s="123"/>
      <c r="H127" s="123"/>
      <c r="I127" s="123"/>
      <c r="J127" s="123"/>
      <c r="K127" s="123"/>
      <c r="L127" s="123"/>
      <c r="M127" s="123"/>
      <c r="N127" s="123"/>
      <c r="O127" s="123"/>
      <c r="P127" s="123"/>
      <c r="Q127" s="123"/>
      <c r="R127" s="123"/>
      <c r="S127" s="123"/>
      <c r="T127" s="123"/>
      <c r="U127" s="123"/>
      <c r="V127" s="123"/>
      <c r="W127" s="123"/>
      <c r="X127" s="123"/>
      <c r="Y127" s="123"/>
      <c r="Z127" s="123"/>
      <c r="AA127" s="123"/>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row>
    <row r="128" spans="5:87" ht="15.75">
      <c r="E128" s="122"/>
      <c r="F128" s="122"/>
      <c r="G128" s="123"/>
      <c r="H128" s="123"/>
      <c r="I128" s="123"/>
      <c r="J128" s="123"/>
      <c r="K128" s="123"/>
      <c r="L128" s="123"/>
      <c r="M128" s="123"/>
      <c r="N128" s="123"/>
      <c r="O128" s="123"/>
      <c r="P128" s="123"/>
      <c r="Q128" s="123"/>
      <c r="R128" s="123"/>
      <c r="S128" s="123"/>
      <c r="T128" s="123"/>
      <c r="U128" s="123"/>
      <c r="V128" s="123"/>
      <c r="W128" s="123"/>
      <c r="X128" s="123"/>
      <c r="Y128" s="123"/>
      <c r="Z128" s="123"/>
      <c r="AA128" s="123"/>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row>
    <row r="129" spans="5:87" ht="15.75">
      <c r="E129" s="122"/>
      <c r="F129" s="122"/>
      <c r="G129" s="123"/>
      <c r="H129" s="123"/>
      <c r="I129" s="123"/>
      <c r="J129" s="123"/>
      <c r="K129" s="123"/>
      <c r="L129" s="123"/>
      <c r="M129" s="123"/>
      <c r="N129" s="123"/>
      <c r="O129" s="123"/>
      <c r="P129" s="123"/>
      <c r="Q129" s="123"/>
      <c r="R129" s="123"/>
      <c r="S129" s="123"/>
      <c r="T129" s="123"/>
      <c r="U129" s="123"/>
      <c r="V129" s="123"/>
      <c r="W129" s="123"/>
      <c r="X129" s="123"/>
      <c r="Y129" s="123"/>
      <c r="Z129" s="123"/>
      <c r="AA129" s="123"/>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row>
    <row r="130" spans="5:87" ht="15.75">
      <c r="E130" s="122"/>
      <c r="F130" s="122"/>
      <c r="G130" s="123"/>
      <c r="H130" s="123"/>
      <c r="I130" s="123"/>
      <c r="J130" s="123"/>
      <c r="K130" s="123"/>
      <c r="L130" s="123"/>
      <c r="M130" s="123"/>
      <c r="N130" s="123"/>
      <c r="O130" s="123"/>
      <c r="P130" s="123"/>
      <c r="Q130" s="123"/>
      <c r="R130" s="123"/>
      <c r="S130" s="123"/>
      <c r="T130" s="123"/>
      <c r="U130" s="123"/>
      <c r="V130" s="123"/>
      <c r="W130" s="123"/>
      <c r="X130" s="123"/>
      <c r="Y130" s="123"/>
      <c r="Z130" s="123"/>
      <c r="AA130" s="123"/>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row>
    <row r="131" spans="5:87" ht="15.75">
      <c r="E131" s="122"/>
      <c r="F131" s="122"/>
      <c r="G131" s="123"/>
      <c r="H131" s="123"/>
      <c r="I131" s="123"/>
      <c r="J131" s="123"/>
      <c r="K131" s="123"/>
      <c r="L131" s="123"/>
      <c r="M131" s="123"/>
      <c r="N131" s="123"/>
      <c r="O131" s="123"/>
      <c r="P131" s="123"/>
      <c r="Q131" s="123"/>
      <c r="R131" s="123"/>
      <c r="S131" s="123"/>
      <c r="T131" s="123"/>
      <c r="U131" s="123"/>
      <c r="V131" s="123"/>
      <c r="W131" s="123"/>
      <c r="X131" s="123"/>
      <c r="Y131" s="123"/>
      <c r="Z131" s="123"/>
      <c r="AA131" s="123"/>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row>
    <row r="132" spans="5:87" ht="15.75">
      <c r="E132" s="122"/>
      <c r="F132" s="122"/>
      <c r="G132" s="123"/>
      <c r="H132" s="123"/>
      <c r="I132" s="123"/>
      <c r="J132" s="123"/>
      <c r="K132" s="123"/>
      <c r="L132" s="123"/>
      <c r="M132" s="123"/>
      <c r="N132" s="123"/>
      <c r="O132" s="123"/>
      <c r="P132" s="123"/>
      <c r="Q132" s="123"/>
      <c r="R132" s="123"/>
      <c r="S132" s="123"/>
      <c r="T132" s="123"/>
      <c r="U132" s="123"/>
      <c r="V132" s="123"/>
      <c r="W132" s="123"/>
      <c r="X132" s="123"/>
      <c r="Y132" s="123"/>
      <c r="Z132" s="123"/>
      <c r="AA132" s="123"/>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row>
    <row r="133" spans="5:87" ht="15.75">
      <c r="E133" s="122"/>
      <c r="F133" s="122"/>
      <c r="G133" s="123" t="s">
        <v>34</v>
      </c>
      <c r="H133" s="123"/>
      <c r="I133" s="123"/>
      <c r="J133" s="123"/>
      <c r="K133" s="123"/>
      <c r="L133" s="123"/>
      <c r="M133" s="123"/>
      <c r="N133" s="123"/>
      <c r="O133" s="123"/>
      <c r="P133" s="123"/>
      <c r="Q133" s="123"/>
      <c r="R133" s="123"/>
      <c r="S133" s="123"/>
      <c r="T133" s="123"/>
      <c r="U133" s="123"/>
      <c r="V133" s="123"/>
      <c r="W133" s="123"/>
      <c r="X133" s="123"/>
      <c r="Y133" s="123"/>
      <c r="Z133" s="123"/>
      <c r="AA133" s="123"/>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row>
    <row r="134" spans="5:87" ht="15.75">
      <c r="E134" s="122"/>
      <c r="F134" s="122"/>
      <c r="G134" s="123"/>
      <c r="H134" s="123"/>
      <c r="I134" s="123"/>
      <c r="J134" s="123"/>
      <c r="K134" s="123"/>
      <c r="L134" s="123"/>
      <c r="M134" s="123"/>
      <c r="N134" s="123"/>
      <c r="O134" s="123"/>
      <c r="P134" s="123"/>
      <c r="Q134" s="123"/>
      <c r="R134" s="123"/>
      <c r="S134" s="123"/>
      <c r="T134" s="123"/>
      <c r="U134" s="123"/>
      <c r="V134" s="123"/>
      <c r="W134" s="123"/>
      <c r="X134" s="123"/>
      <c r="Y134" s="123"/>
      <c r="Z134" s="123"/>
      <c r="AA134" s="123"/>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row>
    <row r="135" spans="5:87" ht="15.75">
      <c r="E135" s="122"/>
      <c r="F135" s="122"/>
      <c r="G135" s="123"/>
      <c r="H135" s="123"/>
      <c r="I135" s="123"/>
      <c r="J135" s="123"/>
      <c r="K135" s="123"/>
      <c r="L135" s="123"/>
      <c r="M135" s="123"/>
      <c r="N135" s="123"/>
      <c r="O135" s="123"/>
      <c r="P135" s="123"/>
      <c r="Q135" s="123"/>
      <c r="R135" s="123"/>
      <c r="S135" s="123"/>
      <c r="T135" s="123"/>
      <c r="U135" s="123"/>
      <c r="V135" s="123"/>
      <c r="W135" s="123"/>
      <c r="X135" s="123"/>
      <c r="Y135" s="123"/>
      <c r="Z135" s="123"/>
      <c r="AA135" s="123"/>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row>
    <row r="136" spans="5:87" ht="15.75">
      <c r="E136" s="122"/>
      <c r="F136" s="122"/>
      <c r="G136" s="123"/>
      <c r="H136" s="123"/>
      <c r="I136" s="123"/>
      <c r="J136" s="123"/>
      <c r="K136" s="123"/>
      <c r="L136" s="123"/>
      <c r="M136" s="123"/>
      <c r="N136" s="123"/>
      <c r="O136" s="123"/>
      <c r="P136" s="123"/>
      <c r="Q136" s="123"/>
      <c r="R136" s="123"/>
      <c r="S136" s="123"/>
      <c r="T136" s="123"/>
      <c r="U136" s="123"/>
      <c r="V136" s="123"/>
      <c r="W136" s="123"/>
      <c r="X136" s="123"/>
      <c r="Y136" s="123"/>
      <c r="Z136" s="123"/>
      <c r="AA136" s="123"/>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row>
    <row r="137" spans="5:87" ht="15.75">
      <c r="E137" s="122"/>
      <c r="F137" s="122"/>
      <c r="G137" s="123"/>
      <c r="H137" s="123"/>
      <c r="I137" s="123"/>
      <c r="J137" s="123"/>
      <c r="K137" s="123"/>
      <c r="L137" s="123"/>
      <c r="M137" s="123"/>
      <c r="N137" s="123"/>
      <c r="O137" s="123"/>
      <c r="P137" s="123"/>
      <c r="Q137" s="123"/>
      <c r="R137" s="123"/>
      <c r="S137" s="123"/>
      <c r="T137" s="123"/>
      <c r="U137" s="123"/>
      <c r="V137" s="123"/>
      <c r="W137" s="123"/>
      <c r="X137" s="123"/>
      <c r="Y137" s="123"/>
      <c r="Z137" s="123"/>
      <c r="AA137" s="123"/>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row>
    <row r="138" spans="5:87" ht="15.75">
      <c r="E138" s="122"/>
      <c r="F138" s="122"/>
      <c r="G138" s="123"/>
      <c r="H138" s="123"/>
      <c r="I138" s="123"/>
      <c r="J138" s="123"/>
      <c r="K138" s="123"/>
      <c r="L138" s="123"/>
      <c r="M138" s="123"/>
      <c r="N138" s="123"/>
      <c r="O138" s="123"/>
      <c r="P138" s="123"/>
      <c r="Q138" s="123"/>
      <c r="R138" s="123"/>
      <c r="S138" s="123"/>
      <c r="T138" s="123"/>
      <c r="U138" s="123"/>
      <c r="V138" s="123"/>
      <c r="W138" s="123"/>
      <c r="X138" s="123"/>
      <c r="Y138" s="123"/>
      <c r="Z138" s="123"/>
      <c r="AA138" s="123"/>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row>
    <row r="139" spans="5:87" ht="15.75">
      <c r="E139" s="122"/>
      <c r="F139" s="122"/>
      <c r="G139" s="123"/>
      <c r="H139" s="123"/>
      <c r="I139" s="123"/>
      <c r="J139" s="123"/>
      <c r="K139" s="123"/>
      <c r="L139" s="123"/>
      <c r="M139" s="123"/>
      <c r="N139" s="123"/>
      <c r="O139" s="123"/>
      <c r="P139" s="123"/>
      <c r="Q139" s="123"/>
      <c r="R139" s="123"/>
      <c r="S139" s="123"/>
      <c r="T139" s="123"/>
      <c r="U139" s="123"/>
      <c r="V139" s="123"/>
      <c r="W139" s="123"/>
      <c r="X139" s="123"/>
      <c r="Y139" s="123"/>
      <c r="Z139" s="123"/>
      <c r="AA139" s="123"/>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row>
    <row r="140" spans="5:87" ht="15.75">
      <c r="E140" s="122"/>
      <c r="F140" s="122"/>
      <c r="G140" s="123"/>
      <c r="H140" s="123"/>
      <c r="I140" s="123"/>
      <c r="J140" s="123"/>
      <c r="K140" s="123"/>
      <c r="L140" s="123"/>
      <c r="M140" s="123"/>
      <c r="N140" s="123"/>
      <c r="O140" s="123"/>
      <c r="P140" s="123"/>
      <c r="Q140" s="123"/>
      <c r="R140" s="123"/>
      <c r="S140" s="123"/>
      <c r="T140" s="123"/>
      <c r="U140" s="123"/>
      <c r="V140" s="123"/>
      <c r="W140" s="123"/>
      <c r="X140" s="123"/>
      <c r="Y140" s="123"/>
      <c r="Z140" s="123"/>
      <c r="AA140" s="123"/>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row>
    <row r="141" spans="5:87" ht="15.75">
      <c r="E141" s="122"/>
      <c r="F141" s="122"/>
      <c r="G141" s="123"/>
      <c r="H141" s="123"/>
      <c r="I141" s="123"/>
      <c r="J141" s="123"/>
      <c r="K141" s="123"/>
      <c r="L141" s="123"/>
      <c r="M141" s="123"/>
      <c r="N141" s="123"/>
      <c r="O141" s="123"/>
      <c r="P141" s="123"/>
      <c r="Q141" s="123"/>
      <c r="R141" s="123"/>
      <c r="S141" s="123"/>
      <c r="T141" s="123"/>
      <c r="U141" s="123"/>
      <c r="V141" s="123"/>
      <c r="W141" s="123"/>
      <c r="X141" s="123"/>
      <c r="Y141" s="123"/>
      <c r="Z141" s="123"/>
      <c r="AA141" s="123"/>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row>
    <row r="142" spans="5:87" ht="15.75">
      <c r="E142" s="122"/>
      <c r="F142" s="122"/>
      <c r="G142" s="123"/>
      <c r="H142" s="123"/>
      <c r="I142" s="123"/>
      <c r="J142" s="123"/>
      <c r="K142" s="123"/>
      <c r="L142" s="123"/>
      <c r="M142" s="123"/>
      <c r="N142" s="123"/>
      <c r="O142" s="123"/>
      <c r="P142" s="123"/>
      <c r="Q142" s="123"/>
      <c r="R142" s="123"/>
      <c r="S142" s="123"/>
      <c r="T142" s="123"/>
      <c r="U142" s="123"/>
      <c r="V142" s="123"/>
      <c r="W142" s="123"/>
      <c r="X142" s="123"/>
      <c r="Y142" s="123"/>
      <c r="Z142" s="123"/>
      <c r="AA142" s="123"/>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row>
    <row r="143" spans="5:87" ht="15.75">
      <c r="E143" s="122"/>
      <c r="F143" s="122"/>
      <c r="G143" s="123"/>
      <c r="H143" s="123"/>
      <c r="I143" s="123"/>
      <c r="J143" s="123"/>
      <c r="K143" s="123"/>
      <c r="L143" s="123"/>
      <c r="M143" s="123"/>
      <c r="N143" s="123"/>
      <c r="O143" s="123"/>
      <c r="P143" s="123"/>
      <c r="Q143" s="123"/>
      <c r="R143" s="123"/>
      <c r="S143" s="123"/>
      <c r="T143" s="123"/>
      <c r="U143" s="123"/>
      <c r="V143" s="123"/>
      <c r="W143" s="123"/>
      <c r="X143" s="123"/>
      <c r="Y143" s="123"/>
      <c r="Z143" s="123"/>
      <c r="AA143" s="123"/>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row>
    <row r="144" spans="5:87" ht="15.75">
      <c r="E144" s="122"/>
      <c r="F144" s="122"/>
      <c r="G144" s="123"/>
      <c r="H144" s="123"/>
      <c r="I144" s="123"/>
      <c r="J144" s="123"/>
      <c r="K144" s="123"/>
      <c r="L144" s="123"/>
      <c r="M144" s="123"/>
      <c r="N144" s="123"/>
      <c r="O144" s="123"/>
      <c r="P144" s="123"/>
      <c r="Q144" s="123"/>
      <c r="R144" s="123"/>
      <c r="S144" s="123"/>
      <c r="T144" s="123"/>
      <c r="U144" s="123"/>
      <c r="V144" s="123"/>
      <c r="W144" s="123"/>
      <c r="X144" s="123"/>
      <c r="Y144" s="123"/>
      <c r="Z144" s="123"/>
      <c r="AA144" s="123"/>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row>
    <row r="145" spans="5:87" ht="15.75">
      <c r="E145" s="122"/>
      <c r="F145" s="122"/>
      <c r="G145" s="123"/>
      <c r="H145" s="123"/>
      <c r="I145" s="123"/>
      <c r="J145" s="123"/>
      <c r="K145" s="123"/>
      <c r="L145" s="123"/>
      <c r="M145" s="123"/>
      <c r="N145" s="123"/>
      <c r="O145" s="123"/>
      <c r="P145" s="123"/>
      <c r="Q145" s="123"/>
      <c r="R145" s="123"/>
      <c r="S145" s="123"/>
      <c r="T145" s="123"/>
      <c r="U145" s="123"/>
      <c r="V145" s="123"/>
      <c r="W145" s="123"/>
      <c r="X145" s="123"/>
      <c r="Y145" s="123"/>
      <c r="Z145" s="123"/>
      <c r="AA145" s="123"/>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row>
    <row r="146" spans="5:87" ht="15.75">
      <c r="E146" s="122"/>
      <c r="F146" s="122"/>
      <c r="G146" s="123"/>
      <c r="H146" s="123"/>
      <c r="I146" s="123"/>
      <c r="J146" s="123"/>
      <c r="K146" s="123"/>
      <c r="L146" s="123"/>
      <c r="M146" s="123"/>
      <c r="N146" s="123"/>
      <c r="O146" s="123"/>
      <c r="P146" s="123"/>
      <c r="Q146" s="123"/>
      <c r="R146" s="123"/>
      <c r="S146" s="123"/>
      <c r="T146" s="123"/>
      <c r="U146" s="123"/>
      <c r="V146" s="123"/>
      <c r="W146" s="123"/>
      <c r="X146" s="123"/>
      <c r="Y146" s="123"/>
      <c r="Z146" s="123"/>
      <c r="AA146" s="123"/>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row>
    <row r="147" spans="5:87" ht="15.75">
      <c r="E147" s="122"/>
      <c r="F147" s="122"/>
      <c r="G147" s="123"/>
      <c r="H147" s="123"/>
      <c r="I147" s="123"/>
      <c r="J147" s="123"/>
      <c r="K147" s="123"/>
      <c r="L147" s="123"/>
      <c r="M147" s="123"/>
      <c r="N147" s="123"/>
      <c r="O147" s="123"/>
      <c r="P147" s="123"/>
      <c r="Q147" s="123"/>
      <c r="R147" s="123"/>
      <c r="S147" s="123"/>
      <c r="T147" s="123"/>
      <c r="U147" s="123"/>
      <c r="V147" s="123"/>
      <c r="W147" s="123"/>
      <c r="X147" s="123"/>
      <c r="Y147" s="123"/>
      <c r="Z147" s="123"/>
      <c r="AA147" s="123"/>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row>
    <row r="148" spans="5:87" ht="15.75">
      <c r="E148" s="122"/>
      <c r="F148" s="122"/>
      <c r="G148" s="123"/>
      <c r="H148" s="123"/>
      <c r="I148" s="123"/>
      <c r="J148" s="123"/>
      <c r="K148" s="123"/>
      <c r="L148" s="123"/>
      <c r="M148" s="123"/>
      <c r="N148" s="123"/>
      <c r="O148" s="123"/>
      <c r="P148" s="123"/>
      <c r="Q148" s="123"/>
      <c r="R148" s="123"/>
      <c r="S148" s="123"/>
      <c r="T148" s="123"/>
      <c r="U148" s="123"/>
      <c r="V148" s="123"/>
      <c r="W148" s="123"/>
      <c r="X148" s="123"/>
      <c r="Y148" s="123"/>
      <c r="Z148" s="123"/>
      <c r="AA148" s="123"/>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row>
    <row r="149" spans="5:87" ht="15.75">
      <c r="E149" s="122"/>
      <c r="F149" s="122"/>
      <c r="G149" s="123"/>
      <c r="H149" s="123"/>
      <c r="I149" s="123"/>
      <c r="J149" s="123"/>
      <c r="K149" s="123"/>
      <c r="L149" s="123"/>
      <c r="M149" s="123"/>
      <c r="N149" s="123"/>
      <c r="O149" s="123"/>
      <c r="P149" s="123"/>
      <c r="Q149" s="123"/>
      <c r="R149" s="123"/>
      <c r="S149" s="123"/>
      <c r="T149" s="123"/>
      <c r="U149" s="123"/>
      <c r="V149" s="123"/>
      <c r="W149" s="123"/>
      <c r="X149" s="123"/>
      <c r="Y149" s="123"/>
      <c r="Z149" s="123"/>
      <c r="AA149" s="123"/>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row>
    <row r="150" spans="5:87" ht="15.75">
      <c r="E150" s="122"/>
      <c r="F150" s="122"/>
      <c r="G150" s="123"/>
      <c r="H150" s="123"/>
      <c r="I150" s="123"/>
      <c r="J150" s="123"/>
      <c r="K150" s="123"/>
      <c r="L150" s="123"/>
      <c r="M150" s="123"/>
      <c r="N150" s="123"/>
      <c r="O150" s="123"/>
      <c r="P150" s="123"/>
      <c r="Q150" s="123"/>
      <c r="R150" s="123"/>
      <c r="S150" s="123"/>
      <c r="T150" s="123"/>
      <c r="U150" s="123"/>
      <c r="V150" s="123"/>
      <c r="W150" s="123"/>
      <c r="X150" s="123"/>
      <c r="Y150" s="123"/>
      <c r="Z150" s="123"/>
      <c r="AA150" s="123"/>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row>
    <row r="151" spans="5:87" ht="15.75">
      <c r="E151" s="122"/>
      <c r="F151" s="122"/>
      <c r="G151" s="123"/>
      <c r="H151" s="123"/>
      <c r="I151" s="123"/>
      <c r="J151" s="123"/>
      <c r="K151" s="123"/>
      <c r="L151" s="123"/>
      <c r="M151" s="123"/>
      <c r="N151" s="123"/>
      <c r="O151" s="123"/>
      <c r="P151" s="123"/>
      <c r="Q151" s="123"/>
      <c r="R151" s="123"/>
      <c r="S151" s="123"/>
      <c r="T151" s="123"/>
      <c r="U151" s="123"/>
      <c r="V151" s="123"/>
      <c r="W151" s="123"/>
      <c r="X151" s="123"/>
      <c r="Y151" s="123"/>
      <c r="Z151" s="123"/>
      <c r="AA151" s="123"/>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row>
    <row r="152" spans="5:87" ht="15.75">
      <c r="E152" s="122"/>
      <c r="F152" s="122"/>
      <c r="G152" s="123"/>
      <c r="H152" s="123"/>
      <c r="I152" s="123"/>
      <c r="J152" s="123"/>
      <c r="K152" s="123"/>
      <c r="L152" s="123"/>
      <c r="M152" s="123"/>
      <c r="N152" s="123"/>
      <c r="O152" s="123"/>
      <c r="P152" s="123"/>
      <c r="Q152" s="123"/>
      <c r="R152" s="123"/>
      <c r="S152" s="123"/>
      <c r="T152" s="123"/>
      <c r="U152" s="123"/>
      <c r="V152" s="123"/>
      <c r="W152" s="123"/>
      <c r="X152" s="123"/>
      <c r="Y152" s="123"/>
      <c r="Z152" s="123"/>
      <c r="AA152" s="123"/>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row>
    <row r="153" spans="5:87" ht="15.75">
      <c r="E153" s="122"/>
      <c r="F153" s="122"/>
      <c r="G153" s="123"/>
      <c r="H153" s="123"/>
      <c r="I153" s="123"/>
      <c r="J153" s="123"/>
      <c r="K153" s="123"/>
      <c r="L153" s="123"/>
      <c r="M153" s="123"/>
      <c r="N153" s="123"/>
      <c r="O153" s="123"/>
      <c r="P153" s="123"/>
      <c r="Q153" s="123"/>
      <c r="R153" s="123"/>
      <c r="S153" s="123"/>
      <c r="T153" s="123"/>
      <c r="U153" s="123"/>
      <c r="V153" s="123"/>
      <c r="W153" s="123"/>
      <c r="X153" s="123"/>
      <c r="Y153" s="123"/>
      <c r="Z153" s="123"/>
      <c r="AA153" s="123"/>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row>
    <row r="154" spans="5:87" ht="15.75">
      <c r="E154" s="122"/>
      <c r="F154" s="122"/>
      <c r="G154" s="123"/>
      <c r="H154" s="123"/>
      <c r="I154" s="123"/>
      <c r="J154" s="123"/>
      <c r="K154" s="123"/>
      <c r="L154" s="123"/>
      <c r="M154" s="123"/>
      <c r="N154" s="123"/>
      <c r="O154" s="123"/>
      <c r="P154" s="123"/>
      <c r="Q154" s="123"/>
      <c r="R154" s="123"/>
      <c r="S154" s="123"/>
      <c r="T154" s="123"/>
      <c r="U154" s="123"/>
      <c r="V154" s="123"/>
      <c r="W154" s="123"/>
      <c r="X154" s="123"/>
      <c r="Y154" s="123"/>
      <c r="Z154" s="123"/>
      <c r="AA154" s="123"/>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row>
    <row r="155" spans="5:87" ht="15.75">
      <c r="E155" s="122"/>
      <c r="F155" s="122"/>
      <c r="G155" s="123"/>
      <c r="H155" s="123"/>
      <c r="I155" s="123"/>
      <c r="J155" s="123"/>
      <c r="K155" s="123"/>
      <c r="L155" s="123"/>
      <c r="M155" s="123"/>
      <c r="N155" s="123"/>
      <c r="O155" s="123"/>
      <c r="P155" s="123"/>
      <c r="Q155" s="123"/>
      <c r="R155" s="123"/>
      <c r="S155" s="123"/>
      <c r="T155" s="123"/>
      <c r="U155" s="123"/>
      <c r="V155" s="123"/>
      <c r="W155" s="123"/>
      <c r="X155" s="123"/>
      <c r="Y155" s="123"/>
      <c r="Z155" s="123"/>
      <c r="AA155" s="123"/>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row>
    <row r="156" spans="5:87" ht="15.75">
      <c r="E156" s="122"/>
      <c r="F156" s="122"/>
      <c r="G156" s="123"/>
      <c r="H156" s="123"/>
      <c r="I156" s="123"/>
      <c r="J156" s="123"/>
      <c r="K156" s="123"/>
      <c r="L156" s="123"/>
      <c r="M156" s="123"/>
      <c r="N156" s="123"/>
      <c r="O156" s="123"/>
      <c r="P156" s="123"/>
      <c r="Q156" s="123"/>
      <c r="R156" s="123"/>
      <c r="S156" s="123"/>
      <c r="T156" s="123"/>
      <c r="U156" s="123"/>
      <c r="V156" s="123"/>
      <c r="W156" s="123"/>
      <c r="X156" s="123"/>
      <c r="Y156" s="123"/>
      <c r="Z156" s="123"/>
      <c r="AA156" s="123"/>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row>
    <row r="157" spans="5:87" ht="15.75">
      <c r="E157" s="122"/>
      <c r="F157" s="122"/>
      <c r="G157" s="123"/>
      <c r="H157" s="123"/>
      <c r="I157" s="123"/>
      <c r="J157" s="123"/>
      <c r="K157" s="123"/>
      <c r="L157" s="123"/>
      <c r="M157" s="123"/>
      <c r="N157" s="123"/>
      <c r="O157" s="123"/>
      <c r="P157" s="123"/>
      <c r="Q157" s="123"/>
      <c r="R157" s="123"/>
      <c r="S157" s="123"/>
      <c r="T157" s="123"/>
      <c r="U157" s="123"/>
      <c r="V157" s="123"/>
      <c r="W157" s="123"/>
      <c r="X157" s="123"/>
      <c r="Y157" s="123"/>
      <c r="Z157" s="123"/>
      <c r="AA157" s="123"/>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row>
    <row r="158" spans="5:87" ht="15.75">
      <c r="E158" s="122"/>
      <c r="F158" s="122"/>
      <c r="G158" s="123"/>
      <c r="H158" s="123"/>
      <c r="I158" s="123"/>
      <c r="J158" s="123"/>
      <c r="K158" s="123"/>
      <c r="L158" s="123"/>
      <c r="M158" s="123"/>
      <c r="N158" s="123"/>
      <c r="O158" s="123"/>
      <c r="P158" s="123"/>
      <c r="Q158" s="123"/>
      <c r="R158" s="123"/>
      <c r="S158" s="123"/>
      <c r="T158" s="123"/>
      <c r="U158" s="123"/>
      <c r="V158" s="123"/>
      <c r="W158" s="123"/>
      <c r="X158" s="123"/>
      <c r="Y158" s="123"/>
      <c r="Z158" s="123"/>
      <c r="AA158" s="123"/>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row>
    <row r="159" spans="5:87" ht="15.75">
      <c r="E159" s="122"/>
      <c r="F159" s="122"/>
      <c r="G159" s="123"/>
      <c r="H159" s="123"/>
      <c r="I159" s="123"/>
      <c r="J159" s="123"/>
      <c r="K159" s="123"/>
      <c r="L159" s="123"/>
      <c r="M159" s="123"/>
      <c r="N159" s="123"/>
      <c r="O159" s="123"/>
      <c r="P159" s="123"/>
      <c r="Q159" s="123"/>
      <c r="R159" s="123"/>
      <c r="S159" s="123"/>
      <c r="T159" s="123"/>
      <c r="U159" s="123"/>
      <c r="V159" s="123"/>
      <c r="W159" s="123"/>
      <c r="X159" s="123"/>
      <c r="Y159" s="123"/>
      <c r="Z159" s="123"/>
      <c r="AA159" s="123"/>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row>
    <row r="160" spans="5:87" ht="15.75">
      <c r="E160" s="122"/>
      <c r="F160" s="122"/>
      <c r="G160" s="123"/>
      <c r="H160" s="123"/>
      <c r="I160" s="123"/>
      <c r="J160" s="123"/>
      <c r="K160" s="123"/>
      <c r="L160" s="123"/>
      <c r="M160" s="123"/>
      <c r="N160" s="123"/>
      <c r="O160" s="123"/>
      <c r="P160" s="123"/>
      <c r="Q160" s="123"/>
      <c r="R160" s="123"/>
      <c r="S160" s="123"/>
      <c r="T160" s="123"/>
      <c r="U160" s="123"/>
      <c r="V160" s="123"/>
      <c r="W160" s="123"/>
      <c r="X160" s="123"/>
      <c r="Y160" s="123"/>
      <c r="Z160" s="123"/>
      <c r="AA160" s="123"/>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row>
    <row r="161" spans="5:87" ht="15.75">
      <c r="E161" s="122"/>
      <c r="F161" s="122"/>
      <c r="G161" s="123"/>
      <c r="H161" s="123"/>
      <c r="I161" s="123"/>
      <c r="J161" s="123"/>
      <c r="K161" s="123"/>
      <c r="L161" s="123"/>
      <c r="M161" s="123"/>
      <c r="N161" s="123"/>
      <c r="O161" s="123"/>
      <c r="P161" s="123"/>
      <c r="Q161" s="123"/>
      <c r="R161" s="123"/>
      <c r="S161" s="123"/>
      <c r="T161" s="123"/>
      <c r="U161" s="123"/>
      <c r="V161" s="123"/>
      <c r="W161" s="123"/>
      <c r="X161" s="123"/>
      <c r="Y161" s="123"/>
      <c r="Z161" s="123"/>
      <c r="AA161" s="123"/>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row>
    <row r="162" spans="5:87" ht="15.75">
      <c r="E162" s="122"/>
      <c r="F162" s="122"/>
      <c r="G162" s="123"/>
      <c r="H162" s="123"/>
      <c r="I162" s="123"/>
      <c r="J162" s="123"/>
      <c r="K162" s="123"/>
      <c r="L162" s="123"/>
      <c r="M162" s="123"/>
      <c r="N162" s="123"/>
      <c r="O162" s="123"/>
      <c r="P162" s="123"/>
      <c r="Q162" s="123"/>
      <c r="R162" s="123"/>
      <c r="S162" s="123"/>
      <c r="T162" s="123"/>
      <c r="U162" s="123"/>
      <c r="V162" s="123"/>
      <c r="W162" s="123"/>
      <c r="X162" s="123"/>
      <c r="Y162" s="123"/>
      <c r="Z162" s="123"/>
      <c r="AA162" s="123"/>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row>
    <row r="163" spans="5:87" ht="15.75">
      <c r="E163" s="122"/>
      <c r="F163" s="122"/>
      <c r="G163" s="123"/>
      <c r="H163" s="123"/>
      <c r="I163" s="123"/>
      <c r="J163" s="123"/>
      <c r="K163" s="123"/>
      <c r="L163" s="123"/>
      <c r="M163" s="123"/>
      <c r="N163" s="123"/>
      <c r="O163" s="123"/>
      <c r="P163" s="123"/>
      <c r="Q163" s="123"/>
      <c r="R163" s="123"/>
      <c r="S163" s="123"/>
      <c r="T163" s="123"/>
      <c r="U163" s="123"/>
      <c r="V163" s="123"/>
      <c r="W163" s="123"/>
      <c r="X163" s="123"/>
      <c r="Y163" s="123"/>
      <c r="Z163" s="123"/>
      <c r="AA163" s="123"/>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row>
    <row r="164" spans="5:87" ht="15.75">
      <c r="E164" s="122"/>
      <c r="F164" s="122"/>
      <c r="G164" s="123"/>
      <c r="H164" s="123"/>
      <c r="I164" s="123"/>
      <c r="J164" s="123"/>
      <c r="K164" s="123"/>
      <c r="L164" s="123"/>
      <c r="M164" s="123"/>
      <c r="N164" s="123"/>
      <c r="O164" s="123"/>
      <c r="P164" s="123"/>
      <c r="Q164" s="123"/>
      <c r="R164" s="123"/>
      <c r="S164" s="123"/>
      <c r="T164" s="123"/>
      <c r="U164" s="123"/>
      <c r="V164" s="123"/>
      <c r="W164" s="123"/>
      <c r="X164" s="123"/>
      <c r="Y164" s="123"/>
      <c r="Z164" s="123"/>
      <c r="AA164" s="123"/>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row>
    <row r="165" spans="5:87" ht="15.75">
      <c r="E165" s="122"/>
      <c r="F165" s="122"/>
      <c r="G165" s="123"/>
      <c r="H165" s="123"/>
      <c r="I165" s="123"/>
      <c r="J165" s="123"/>
      <c r="K165" s="123"/>
      <c r="L165" s="123"/>
      <c r="M165" s="123"/>
      <c r="N165" s="123"/>
      <c r="O165" s="123"/>
      <c r="P165" s="123"/>
      <c r="Q165" s="123"/>
      <c r="R165" s="123"/>
      <c r="S165" s="123"/>
      <c r="T165" s="123"/>
      <c r="U165" s="123"/>
      <c r="V165" s="123"/>
      <c r="W165" s="123"/>
      <c r="X165" s="123"/>
      <c r="Y165" s="123"/>
      <c r="Z165" s="123"/>
      <c r="AA165" s="123"/>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row>
    <row r="166" spans="5:87" ht="15.75">
      <c r="E166" s="122"/>
      <c r="F166" s="122"/>
      <c r="G166" s="123"/>
      <c r="H166" s="123"/>
      <c r="I166" s="123"/>
      <c r="J166" s="123"/>
      <c r="K166" s="123"/>
      <c r="L166" s="123"/>
      <c r="M166" s="123"/>
      <c r="N166" s="123"/>
      <c r="O166" s="123"/>
      <c r="P166" s="123"/>
      <c r="Q166" s="123"/>
      <c r="R166" s="123"/>
      <c r="S166" s="123"/>
      <c r="T166" s="123"/>
      <c r="U166" s="123"/>
      <c r="V166" s="123"/>
      <c r="W166" s="123"/>
      <c r="X166" s="123"/>
      <c r="Y166" s="123"/>
      <c r="Z166" s="123"/>
      <c r="AA166" s="123"/>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row>
    <row r="167" spans="5:87">
      <c r="E167" s="122"/>
      <c r="F167" s="122"/>
      <c r="G167" s="123"/>
      <c r="H167" s="123"/>
      <c r="I167" s="123"/>
      <c r="J167" s="123"/>
      <c r="K167" s="123"/>
      <c r="L167" s="123"/>
      <c r="M167" s="123"/>
      <c r="N167" s="123"/>
      <c r="O167" s="123"/>
      <c r="P167" s="123"/>
      <c r="Q167" s="123"/>
      <c r="R167" s="123"/>
      <c r="S167" s="123"/>
      <c r="T167" s="123"/>
      <c r="U167" s="123"/>
      <c r="V167" s="123"/>
      <c r="W167" s="123"/>
      <c r="X167" s="123"/>
      <c r="Y167" s="123"/>
      <c r="Z167" s="123"/>
      <c r="AA167" s="123"/>
    </row>
  </sheetData>
  <sheetProtection algorithmName="SHA-512" hashValue="WayARq4FmD7iDrLgZioPV40E1yLfwUSCsQdZSjqt3PrR8bcBVGEc4Dj6pPY7pb6bYpeBTzvmSHqCppixsw4dzA==" saltValue="Olb3ZE5/DPTpdXA2ybU1GQ==" spinCount="100000" sheet="1" objects="1" scenarios="1"/>
  <mergeCells count="7">
    <mergeCell ref="B1:E1"/>
    <mergeCell ref="A43:B43"/>
    <mergeCell ref="A44:B44"/>
    <mergeCell ref="A45:B45"/>
    <mergeCell ref="A46:B46"/>
    <mergeCell ref="A40:B40"/>
    <mergeCell ref="C28:C32"/>
  </mergeCells>
  <conditionalFormatting sqref="C50:M50 P50:T50 V50:AI50">
    <cfRule type="cellIs" dxfId="2" priority="4" operator="greaterThan">
      <formula>0</formula>
    </cfRule>
  </conditionalFormatting>
  <conditionalFormatting sqref="U50">
    <cfRule type="cellIs" dxfId="1" priority="1" operator="greaterThan">
      <formula>0</formula>
    </cfRule>
  </conditionalFormatting>
  <pageMargins left="0.4" right="0.4" top="0.5" bottom="0.25" header="0.25" footer="0.25"/>
  <pageSetup scale="60" firstPageNumber="7" orientation="landscape" r:id="rId1"/>
  <headerFooter alignWithMargins="0">
    <oddHeader>&amp;CAttachment D</oddHeader>
    <oddFooter>&amp;L&amp;9&amp;D &amp;T&amp;C&amp;P of &amp;N&amp;R&amp;9&amp;F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Instructions</vt:lpstr>
      <vt:lpstr>Summary</vt:lpstr>
      <vt:lpstr> Project Debt &amp; NOI</vt:lpstr>
      <vt:lpstr>Sources and Uses</vt:lpstr>
      <vt:lpstr>WIP_Scenario Output 1</vt:lpstr>
      <vt:lpstr>Units &amp; Income</vt:lpstr>
      <vt:lpstr>Operating Expenses </vt:lpstr>
      <vt:lpstr>Cash Flow Proforma</vt:lpstr>
      <vt:lpstr>Development Budget</vt:lpstr>
      <vt:lpstr>Tax Credit Worksheet</vt:lpstr>
      <vt:lpstr>2020 AMI</vt:lpstr>
      <vt:lpstr>AMI_Area_Name</vt:lpstr>
      <vt:lpstr>' Project Debt &amp; NOI'!Print_Area</vt:lpstr>
      <vt:lpstr>'2020 AMI'!Print_Area</vt:lpstr>
      <vt:lpstr>'Cash Flow Proforma'!Print_Area</vt:lpstr>
      <vt:lpstr>'Development Budget'!Print_Area</vt:lpstr>
      <vt:lpstr>Instructions!Print_Area</vt:lpstr>
      <vt:lpstr>'Operating Expenses '!Print_Area</vt:lpstr>
      <vt:lpstr>'Sources and Uses'!Print_Area</vt:lpstr>
      <vt:lpstr>Summary!Print_Area</vt:lpstr>
      <vt:lpstr>'Tax Credit Worksheet'!Print_Area</vt:lpstr>
      <vt:lpstr>'Units &amp; Income'!Print_Area</vt:lpstr>
    </vt:vector>
  </TitlesOfParts>
  <Company>NYS HCR Office of Finance &amp;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Summer 2020 9pct RFP - Underwriting Application</dc:title>
  <dc:subject>Underwriting Application</dc:subject>
  <dc:creator>NYS HCR Office of Finance &amp; Development</dc:creator>
  <cp:lastModifiedBy>Catherine</cp:lastModifiedBy>
  <cp:lastPrinted>2020-07-30T15:53:18Z</cp:lastPrinted>
  <dcterms:created xsi:type="dcterms:W3CDTF">1998-09-24T19:31:31Z</dcterms:created>
  <dcterms:modified xsi:type="dcterms:W3CDTF">2020-07-31T11:55:51Z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chemaType">
    <vt:lpwstr>DEV Budget</vt:lpwstr>
  </property>
</Properties>
</file>